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BPC\03_PUBLICATIONS\01-Publications\• Etudes et Résultats\ER ASSAFM 14-11\6-Mise en ligne\"/>
    </mc:Choice>
  </mc:AlternateContent>
  <bookViews>
    <workbookView xWindow="0" yWindow="0" windowWidth="2160" windowHeight="0" activeTab="2"/>
  </bookViews>
  <sheets>
    <sheet name="Graphique 1" sheetId="21" r:id="rId1"/>
    <sheet name="Graphique 2" sheetId="22" r:id="rId2"/>
    <sheet name="Tableau 1" sheetId="2" r:id="rId3"/>
    <sheet name="Tableau 2" sheetId="15" r:id="rId4"/>
    <sheet name="Tableau 3" sheetId="16" r:id="rId5"/>
    <sheet name="Tableau complémentaire A" sheetId="10" r:id="rId6"/>
    <sheet name="Tableau complémentaire B" sheetId="23" r:id="rId7"/>
    <sheet name="Tableau complémentaire C" sheetId="13" r:id="rId8"/>
    <sheet name="Tableau complémentaire D" sheetId="14" r:id="rId9"/>
    <sheet name="Tableau complémentaire E" sheetId="17" r:id="rId10"/>
  </sheets>
  <definedNames>
    <definedName name="_Hlk25079426" localSheetId="1">'Graphique 2'!#REF!</definedName>
    <definedName name="_Hlk25079426" localSheetId="3">'Tableau 2'!#REF!</definedName>
    <definedName name="_Hlk25079426" localSheetId="4">'Tableau 3'!#REF!</definedName>
    <definedName name="_Hlk25079426" localSheetId="9">'Tableau complémentaire E'!#REF!</definedName>
    <definedName name="_Hlk25140308" localSheetId="1">'Graphique 2'!#REF!</definedName>
    <definedName name="_Hlk25140308" localSheetId="3">'Tableau 2'!#REF!</definedName>
    <definedName name="_Hlk25140308" localSheetId="4">'Tableau 3'!#REF!</definedName>
    <definedName name="_Hlk25140308" localSheetId="8">'Tableau complémentaire D'!#REF!</definedName>
    <definedName name="_Hlk25140308" localSheetId="9">'Tableau complémentaire E'!#REF!</definedName>
    <definedName name="_Hlk29828981" localSheetId="1">'Graphique 2'!#REF!</definedName>
    <definedName name="_Hlk29828981" localSheetId="3">'Tableau 2'!#REF!</definedName>
    <definedName name="_Hlk29828981" localSheetId="4">'Tableau 3'!#REF!</definedName>
    <definedName name="_Hlk29828981" localSheetId="8">'Tableau complémentaire D'!#REF!</definedName>
    <definedName name="_Hlk29828981" localSheetId="9">'Tableau complémentaire 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21" l="1"/>
  <c r="D6" i="21"/>
  <c r="C7" i="21"/>
  <c r="D7" i="21"/>
  <c r="C8" i="21"/>
  <c r="D8" i="21"/>
  <c r="C9" i="21"/>
  <c r="D9" i="21"/>
  <c r="C10" i="21"/>
  <c r="D10" i="21"/>
  <c r="C11" i="21"/>
  <c r="D11" i="21"/>
  <c r="D12" i="21"/>
  <c r="C13" i="21"/>
  <c r="D13" i="21"/>
  <c r="C14" i="21"/>
  <c r="D14" i="21"/>
  <c r="C15" i="21"/>
  <c r="D15" i="21"/>
  <c r="C16" i="21"/>
  <c r="D16" i="21"/>
  <c r="C17" i="21"/>
  <c r="D17" i="21"/>
  <c r="C18" i="21"/>
  <c r="D18" i="21"/>
  <c r="C19" i="21"/>
  <c r="D19" i="21"/>
  <c r="C20" i="21"/>
  <c r="D20" i="21"/>
  <c r="C21" i="21"/>
  <c r="D21" i="21"/>
  <c r="C22" i="21"/>
  <c r="D22" i="21"/>
  <c r="C23" i="21"/>
  <c r="D23" i="21"/>
  <c r="C24" i="21"/>
  <c r="D24" i="21"/>
  <c r="C25" i="21"/>
  <c r="D25" i="21"/>
  <c r="C26" i="21"/>
  <c r="D26" i="21"/>
  <c r="C27" i="21"/>
  <c r="D27" i="21"/>
  <c r="C28" i="21"/>
  <c r="D28" i="21"/>
  <c r="C29" i="21"/>
  <c r="D29" i="21"/>
  <c r="C30" i="21"/>
  <c r="D30" i="21"/>
  <c r="C31" i="21"/>
  <c r="D31" i="21"/>
  <c r="C32" i="21"/>
  <c r="D32" i="21"/>
  <c r="C33" i="21"/>
  <c r="D33" i="21"/>
  <c r="C34" i="21"/>
  <c r="D34" i="21"/>
  <c r="C35" i="21"/>
  <c r="D35" i="21"/>
  <c r="C36" i="21"/>
  <c r="D36" i="21"/>
  <c r="C37" i="21"/>
  <c r="D37" i="21"/>
  <c r="C38" i="21"/>
  <c r="D38" i="21"/>
  <c r="C39" i="21"/>
  <c r="D39" i="21"/>
  <c r="C40" i="21"/>
  <c r="D40" i="21"/>
  <c r="C41" i="21"/>
  <c r="D41" i="21"/>
  <c r="C42" i="21"/>
  <c r="D42" i="21"/>
  <c r="C43" i="21"/>
  <c r="D43" i="21"/>
  <c r="C44" i="21"/>
  <c r="D44" i="21"/>
  <c r="C45" i="21"/>
  <c r="D45" i="21"/>
  <c r="C46" i="21"/>
  <c r="D46" i="21"/>
  <c r="C47" i="21"/>
  <c r="D47" i="21"/>
  <c r="C48" i="21"/>
  <c r="D48" i="21"/>
  <c r="C49" i="21"/>
  <c r="D49" i="21"/>
  <c r="C50" i="21"/>
  <c r="D50" i="21"/>
</calcChain>
</file>

<file path=xl/sharedStrings.xml><?xml version="1.0" encoding="utf-8"?>
<sst xmlns="http://schemas.openxmlformats.org/spreadsheetml/2006/main" count="262" uniqueCount="204">
  <si>
    <t>Sexe</t>
  </si>
  <si>
    <t>France</t>
  </si>
  <si>
    <t>Hors de France</t>
  </si>
  <si>
    <t>Pays de naissance</t>
  </si>
  <si>
    <t xml:space="preserve">Oui </t>
  </si>
  <si>
    <t>Non</t>
  </si>
  <si>
    <t>Oui, avec une personne qui vit dans le logement</t>
  </si>
  <si>
    <t>Oui, avec une personne qui ne vit pas dans le logement</t>
  </si>
  <si>
    <t>Sont</t>
  </si>
  <si>
    <t>Oui</t>
  </si>
  <si>
    <t>Certificat d’études primaires, aucun diplôme</t>
  </si>
  <si>
    <t>Brevet des collèges, BEPC</t>
  </si>
  <si>
    <t>CAP, BEP ou diplôme de même niveau</t>
  </si>
  <si>
    <t>Baccalauréat général, technologique, professionnel ou équivalent</t>
  </si>
  <si>
    <t>au domicile des personnes</t>
  </si>
  <si>
    <t>dans un établissement d’accueil du jeune enfant</t>
  </si>
  <si>
    <t>dans un établissement de la protection de l’enfance</t>
  </si>
  <si>
    <t>dans un établissement d’accueil des personnes âgées, handicapées, en difficulté</t>
  </si>
  <si>
    <t>dans un établissement scolaire (auxiliaire de vie scolaire, ATSEM)</t>
  </si>
  <si>
    <t>La possibilité d’exercer une activité professionnelle à domicile</t>
  </si>
  <si>
    <t>La forte autonomie de cette activité</t>
  </si>
  <si>
    <t>La possibilité de s’occuper davantage de ses propres enfants</t>
  </si>
  <si>
    <t>Le niveau de qualification/formation requis</t>
  </si>
  <si>
    <t>Par opportunité (offre d’emploi disponible, par rencontre)</t>
  </si>
  <si>
    <t>Autres</t>
  </si>
  <si>
    <t xml:space="preserve">Comment avez-vous connu cette activité ? </t>
  </si>
  <si>
    <t xml:space="preserve">Par votre entourage familial </t>
  </si>
  <si>
    <t>Par votre histoire personnelle</t>
  </si>
  <si>
    <t>Dans le cadre professionnel</t>
  </si>
  <si>
    <t>par Pôle Emploi</t>
  </si>
  <si>
    <t>Métier réputé difficile</t>
  </si>
  <si>
    <t>Peur de ne pas y arriver</t>
  </si>
  <si>
    <t>En %</t>
  </si>
  <si>
    <t>NSP</t>
  </si>
  <si>
    <t xml:space="preserve">Plus haut diplôme </t>
  </si>
  <si>
    <t>1 enfant</t>
  </si>
  <si>
    <t>2 enfants</t>
  </si>
  <si>
    <t>3 enfants</t>
  </si>
  <si>
    <t>4 enfants ou plus</t>
  </si>
  <si>
    <t>Des congés leur ont été refusés</t>
  </si>
  <si>
    <t xml:space="preserve">Des congés leur ont été imposés </t>
  </si>
  <si>
    <t xml:space="preserve">Ont déjà été en arrêt de travail pour maladie </t>
  </si>
  <si>
    <t>Au moins une association</t>
  </si>
  <si>
    <t>Au moins un conseil départemental et une association</t>
  </si>
  <si>
    <t>Aucun</t>
  </si>
  <si>
    <t>Oui, est en train de la suivre</t>
  </si>
  <si>
    <t>Raisons familiales</t>
  </si>
  <si>
    <t>Déménagement</t>
  </si>
  <si>
    <t>Métier difficile</t>
  </si>
  <si>
    <t>Souffler, avoir une période de répit</t>
  </si>
  <si>
    <t>Reprendre des études, une formation</t>
  </si>
  <si>
    <t>De moins d’une journée de formation</t>
  </si>
  <si>
    <t>D’une journée de formation</t>
  </si>
  <si>
    <t>De plusieurs journées de formation</t>
  </si>
  <si>
    <t>Oui, plusieurs fois</t>
  </si>
  <si>
    <t>Retraite</t>
  </si>
  <si>
    <t xml:space="preserve">     Femmes</t>
  </si>
  <si>
    <t xml:space="preserve">      Hommes</t>
  </si>
  <si>
    <r>
      <rPr>
        <b/>
        <sz val="8"/>
        <color theme="1"/>
        <rFont val="Marianne"/>
      </rPr>
      <t>Champ &gt;</t>
    </r>
    <r>
      <rPr>
        <sz val="8"/>
        <color theme="1"/>
        <rFont val="Marianne"/>
      </rPr>
      <t xml:space="preserve"> Assistants familiaux exerçant en France métropolitaine en 2021.</t>
    </r>
  </si>
  <si>
    <r>
      <rPr>
        <b/>
        <sz val="8"/>
        <color theme="1"/>
        <rFont val="Marianne"/>
      </rPr>
      <t xml:space="preserve">Source &gt; </t>
    </r>
    <r>
      <rPr>
        <sz val="8"/>
        <color theme="1"/>
        <rFont val="Marianne"/>
      </rPr>
      <t>DREES, enquête nationale sur les assistants familiaux.</t>
    </r>
  </si>
  <si>
    <r>
      <t>Médiane</t>
    </r>
    <r>
      <rPr>
        <vertAlign val="superscript"/>
        <sz val="8"/>
        <color theme="1"/>
        <rFont val="Marianne"/>
      </rPr>
      <t>1</t>
    </r>
  </si>
  <si>
    <r>
      <t>Q3</t>
    </r>
    <r>
      <rPr>
        <vertAlign val="superscript"/>
        <sz val="8"/>
        <color theme="1"/>
        <rFont val="Marianne"/>
      </rPr>
      <t>3</t>
    </r>
  </si>
  <si>
    <r>
      <t>Q1</t>
    </r>
    <r>
      <rPr>
        <vertAlign val="superscript"/>
        <sz val="8"/>
        <color theme="1"/>
        <rFont val="Marianne"/>
      </rPr>
      <t>2</t>
    </r>
  </si>
  <si>
    <r>
      <rPr>
        <b/>
        <sz val="8"/>
        <color theme="1"/>
        <rFont val="Calibri"/>
        <family val="2"/>
      </rPr>
      <t>Â</t>
    </r>
    <r>
      <rPr>
        <b/>
        <sz val="8"/>
        <color theme="1"/>
        <rFont val="Marianne"/>
      </rPr>
      <t>ge (en années)</t>
    </r>
  </si>
  <si>
    <r>
      <rPr>
        <b/>
        <sz val="8"/>
        <color theme="1"/>
        <rFont val="Marianne"/>
      </rPr>
      <t>Source &gt;</t>
    </r>
    <r>
      <rPr>
        <sz val="8"/>
        <color theme="1"/>
        <rFont val="Marianne"/>
      </rPr>
      <t xml:space="preserve"> DREES, enquête nationale sur les assistants familiaux.</t>
    </r>
  </si>
  <si>
    <r>
      <rPr>
        <b/>
        <sz val="8"/>
        <color theme="1"/>
        <rFont val="Marianne"/>
      </rPr>
      <t xml:space="preserve">Champ &gt; </t>
    </r>
    <r>
      <rPr>
        <sz val="8"/>
        <color theme="1"/>
        <rFont val="Marianne"/>
      </rPr>
      <t>Assistants familiaux exerçant en France métropolitaine en 2021</t>
    </r>
  </si>
  <si>
    <t xml:space="preserve">Possession d’un diplôme, d’un titre ou d’un certificat dans le domaine sanitaire ou social </t>
  </si>
  <si>
    <t>Qu’est-ce qui vous a amené à choisir l’activité d’assistant familial ?</t>
  </si>
  <si>
    <t xml:space="preserve">L’envie de venir en aide à des enfants en difficulté  </t>
  </si>
  <si>
    <t xml:space="preserve">L’envie de travailler auprès d’enfants ou de jeunes </t>
  </si>
  <si>
    <t>L’envie d’exercer une activité d’appoint pour compléter ses revenus</t>
  </si>
  <si>
    <t>L’envie d’exercer le même métier que votre conjoint (ou conjointe) ou de continuer à accueillir les enfants dont il/elle était l’assistant familial</t>
  </si>
  <si>
    <t>Par la lecture, l’écoute ou le visionnage d’un témoignage, d’un documentaire ou d’une fiction</t>
  </si>
  <si>
    <t>Dans une campagne de recrutement d’un conseil départemental ou d’une association</t>
  </si>
  <si>
    <t>Ont eu des difficultés à trouver un employeur, une fois l’agrément reçu ?</t>
  </si>
  <si>
    <t>Ont connu au moins une période de chômage de plus d’un mois depuis la première embauche</t>
  </si>
  <si>
    <t>Ont choisi d’interrompre leur activité d’assistant familial</t>
  </si>
  <si>
    <t>Si oui, raisons de l’interruption</t>
  </si>
  <si>
    <t>Age (en années)</t>
  </si>
  <si>
    <r>
      <t>En couple</t>
    </r>
    <r>
      <rPr>
        <b/>
        <sz val="8"/>
        <color theme="1"/>
        <rFont val="Calibri"/>
        <family val="2"/>
      </rPr>
      <t> </t>
    </r>
    <r>
      <rPr>
        <b/>
        <sz val="8"/>
        <color theme="1"/>
        <rFont val="Marianne"/>
      </rPr>
      <t xml:space="preserve">? </t>
    </r>
  </si>
  <si>
    <t>Avez-vous eu des craintes à l’idée d’exercer ce métier avant de demander votre premier agrément ?</t>
  </si>
  <si>
    <r>
      <t>A suivi la formation obligatoire de 240 heures</t>
    </r>
    <r>
      <rPr>
        <b/>
        <vertAlign val="superscript"/>
        <sz val="8"/>
        <color theme="1"/>
        <rFont val="Marianne"/>
      </rPr>
      <t>1</t>
    </r>
  </si>
  <si>
    <t>Mariés ou pacsés</t>
  </si>
  <si>
    <t>En concubinage ou en union libre</t>
  </si>
  <si>
    <t>Célibataires</t>
  </si>
  <si>
    <t>Homme</t>
  </si>
  <si>
    <t>Femme</t>
  </si>
  <si>
    <r>
      <t>Diplôme du 1</t>
    </r>
    <r>
      <rPr>
        <vertAlign val="superscript"/>
        <sz val="8"/>
        <rFont val="Marianne"/>
      </rPr>
      <t>er</t>
    </r>
    <r>
      <rPr>
        <sz val="8"/>
        <rFont val="Marianne"/>
      </rPr>
      <t xml:space="preserve"> cycle universitaire, BTS, DUT, ou équivalent, niveau BAC+2</t>
    </r>
  </si>
  <si>
    <r>
      <t>Diplôme de 2</t>
    </r>
    <r>
      <rPr>
        <vertAlign val="superscript"/>
        <sz val="8"/>
        <rFont val="Marianne"/>
      </rPr>
      <t>e</t>
    </r>
    <r>
      <rPr>
        <sz val="8"/>
        <rFont val="Marianne"/>
      </rPr>
      <t xml:space="preserve"> cycle universitaire</t>
    </r>
  </si>
  <si>
    <r>
      <t>Diplôme de 3</t>
    </r>
    <r>
      <rPr>
        <vertAlign val="superscript"/>
        <sz val="8"/>
        <rFont val="Marianne"/>
      </rPr>
      <t>e</t>
    </r>
    <r>
      <rPr>
        <sz val="8"/>
        <rFont val="Marianne"/>
      </rPr>
      <t xml:space="preserve"> cycle universitaire, doctorat, grande école, ingénieur</t>
    </r>
  </si>
  <si>
    <r>
      <rPr>
        <b/>
        <sz val="8"/>
        <color theme="1"/>
        <rFont val="Marianne"/>
      </rPr>
      <t>Lecture &gt;</t>
    </r>
    <r>
      <rPr>
        <sz val="8"/>
        <color theme="1"/>
        <rFont val="Marianne"/>
      </rPr>
      <t xml:space="preserve"> En 2021, 81 % des assistants familiaux ont suivi et terminé leur formation de 240 heures.</t>
    </r>
  </si>
  <si>
    <r>
      <rPr>
        <b/>
        <sz val="8"/>
        <color theme="1"/>
        <rFont val="Marianne"/>
      </rPr>
      <t xml:space="preserve">Champ &gt; </t>
    </r>
    <r>
      <rPr>
        <sz val="8"/>
        <color theme="1"/>
        <rFont val="Marianne"/>
      </rPr>
      <t>Assistants familiaux exerçant en France métropolitaine en 2021.</t>
    </r>
  </si>
  <si>
    <r>
      <rPr>
        <b/>
        <sz val="8"/>
        <color theme="1"/>
        <rFont val="Marianne"/>
      </rPr>
      <t>Lecture &gt;</t>
    </r>
    <r>
      <rPr>
        <sz val="8"/>
        <color theme="1"/>
        <rFont val="Marianne"/>
      </rPr>
      <t xml:space="preserve"> En 2021, 42 % des assistants familiaux possèdent comme plus haut diplôme un CAP, un BEP ou un diplôme de même niveau.</t>
    </r>
  </si>
  <si>
    <t>L’envie d’exercer un métier de service à caractère social</t>
  </si>
  <si>
    <t>Par votre entourage amical, des relations, des connaissances</t>
  </si>
  <si>
    <t>Craintes de conséquences négatives sur la vie familiale</t>
  </si>
  <si>
    <t xml:space="preserve">Incertitude sur l’emploi et la rémunération </t>
  </si>
  <si>
    <t>Appréhensions face à la démarche</t>
  </si>
  <si>
    <t>Manque de visibilité sur les démarches nécessaires</t>
  </si>
  <si>
    <t xml:space="preserve">                                                                                             dont en famille d’accueil</t>
  </si>
  <si>
    <t xml:space="preserve">        dont                                                                                      diplôme d’État d’assistant familial (DEAF)</t>
  </si>
  <si>
    <t>Oui, une seule fois</t>
  </si>
  <si>
    <t>Exercice d’une autre activité</t>
  </si>
  <si>
    <r>
      <rPr>
        <b/>
        <sz val="8"/>
        <color theme="1"/>
        <rFont val="Marianne"/>
      </rPr>
      <t>Lecture &gt;</t>
    </r>
    <r>
      <rPr>
        <sz val="8"/>
        <color theme="1"/>
        <rFont val="Marianne"/>
      </rPr>
      <t xml:space="preserve"> En 2021, 88 % des assistants familiaux ont pour employeur un conseil départemental ou plusieurs conseils départementaux.</t>
    </r>
  </si>
  <si>
    <t xml:space="preserve"> Ont-ils pris tous les congés auxquels ils avaient droit ?</t>
  </si>
  <si>
    <t>Tableau 1 – Profil sociodémographique des assistants familiaux en 2021</t>
  </si>
  <si>
    <t>2. Q1 est la valeur qui correspond à 25 % de la distribution : le quart des assistants familiaux  sont âgés de 49 ans ou moins.</t>
  </si>
  <si>
    <t>Veufs/veuves</t>
  </si>
  <si>
    <t>Pensent exercer le métier d’assistant familial jusqu’à leur départ à la retraite</t>
  </si>
  <si>
    <t>Avez-vous connu un placement pendant leur enfance ?</t>
  </si>
  <si>
    <r>
      <t xml:space="preserve">Ont connu une ou </t>
    </r>
    <r>
      <rPr>
        <b/>
        <sz val="8"/>
        <rFont val="Marianne"/>
      </rPr>
      <t>plusieurs périodes d’attente</t>
    </r>
  </si>
  <si>
    <r>
      <rPr>
        <b/>
        <sz val="8"/>
        <color theme="1"/>
        <rFont val="Marianne"/>
      </rPr>
      <t>Lecture &gt;</t>
    </r>
    <r>
      <rPr>
        <sz val="8"/>
        <color theme="1"/>
        <rFont val="Marianne"/>
      </rPr>
      <t xml:space="preserve"> En 2021, 70 % des assistants familiaux n’ont jamais connu de période d’attente.</t>
    </r>
  </si>
  <si>
    <t xml:space="preserve">Non, jamais </t>
  </si>
  <si>
    <t>Au moins un département</t>
  </si>
  <si>
    <t>Employeurs des assistants familiaux</t>
  </si>
  <si>
    <t>Tableau 3 – Formation continue des assistants familiaux en 2021</t>
  </si>
  <si>
    <t>Congés en 2020</t>
  </si>
  <si>
    <t>Arrêts de travail pris au cours
 de la carrière</t>
  </si>
  <si>
    <t>Tableau 2 – Congés  et arrêts de travail</t>
  </si>
  <si>
    <r>
      <rPr>
        <b/>
        <sz val="8"/>
        <color theme="1"/>
        <rFont val="Marianne"/>
      </rPr>
      <t>Lecture &gt;</t>
    </r>
    <r>
      <rPr>
        <sz val="8"/>
        <color theme="1"/>
        <rFont val="Marianne"/>
      </rPr>
      <t xml:space="preserve"> En 2021, 88 % des assistants familiaux n’ont pas pris tous les congés auxquels ils avaient droit.</t>
    </r>
  </si>
  <si>
    <t>Les métiers exercés auparavant étaient-ils en rapport avec l’aide ou l’accompagnement d’enfants, avec l’aide de personnes ou familles ayant des difficultés ou en rapport avec les secteurs sanitaire ou de la petite enfance ?</t>
  </si>
  <si>
    <t>70 ans ou +</t>
  </si>
  <si>
    <t>69 ans</t>
  </si>
  <si>
    <t>68 ans</t>
  </si>
  <si>
    <t>67 ans</t>
  </si>
  <si>
    <t>66 ans</t>
  </si>
  <si>
    <t>65 ans</t>
  </si>
  <si>
    <t>64 ans</t>
  </si>
  <si>
    <t>63 ans</t>
  </si>
  <si>
    <t>62 ans</t>
  </si>
  <si>
    <t>61 ans</t>
  </si>
  <si>
    <t>60 ans</t>
  </si>
  <si>
    <t>59 ans</t>
  </si>
  <si>
    <t>58 ans</t>
  </si>
  <si>
    <t>57 ans</t>
  </si>
  <si>
    <t>56 ans</t>
  </si>
  <si>
    <t>55 ans</t>
  </si>
  <si>
    <t>54 ans</t>
  </si>
  <si>
    <t>53 ans</t>
  </si>
  <si>
    <t>52 ans</t>
  </si>
  <si>
    <t>51 ans</t>
  </si>
  <si>
    <t>50 ans</t>
  </si>
  <si>
    <t>49 ans</t>
  </si>
  <si>
    <t>48 ans</t>
  </si>
  <si>
    <t>47 ans</t>
  </si>
  <si>
    <t>46 ans</t>
  </si>
  <si>
    <t>45 ans</t>
  </si>
  <si>
    <t>44 ans</t>
  </si>
  <si>
    <t>43 ans</t>
  </si>
  <si>
    <t>42 ans</t>
  </si>
  <si>
    <t>41 ans</t>
  </si>
  <si>
    <t>40 ans</t>
  </si>
  <si>
    <t>39 ans</t>
  </si>
  <si>
    <t>38 ans</t>
  </si>
  <si>
    <t>37 ans</t>
  </si>
  <si>
    <t>36 ans</t>
  </si>
  <si>
    <t>35 ans</t>
  </si>
  <si>
    <t>34 ans</t>
  </si>
  <si>
    <t>33 ans</t>
  </si>
  <si>
    <t>32 ans</t>
  </si>
  <si>
    <t>31 ans</t>
  </si>
  <si>
    <t>30 ans</t>
  </si>
  <si>
    <t>29 ans</t>
  </si>
  <si>
    <t>28 ans</t>
  </si>
  <si>
    <t xml:space="preserve">27 ans </t>
  </si>
  <si>
    <t>25 ans</t>
  </si>
  <si>
    <t xml:space="preserve">Graphique 1 – L’âge des assistants familiaux en 2021 </t>
  </si>
  <si>
    <t>Nombre d’enfants confiés par assistant familial</t>
  </si>
  <si>
    <r>
      <rPr>
        <b/>
        <sz val="8"/>
        <color theme="1"/>
        <rFont val="Marianne"/>
      </rPr>
      <t>Lecture &gt;</t>
    </r>
    <r>
      <rPr>
        <sz val="8"/>
        <color theme="1"/>
        <rFont val="Marianne"/>
      </rPr>
      <t xml:space="preserve"> En 2021, 4,7 % des assistants familiaux sont des femmes âgées 
de 57</t>
    </r>
    <r>
      <rPr>
        <sz val="8"/>
        <color theme="1"/>
        <rFont val="Calibri"/>
        <family val="2"/>
      </rPr>
      <t> </t>
    </r>
    <r>
      <rPr>
        <sz val="8"/>
        <color theme="1"/>
        <rFont val="Marianne"/>
      </rPr>
      <t xml:space="preserve">ans.
</t>
    </r>
    <r>
      <rPr>
        <b/>
        <sz val="8"/>
        <color theme="1"/>
        <rFont val="Marianne"/>
      </rPr>
      <t>Champ &gt;</t>
    </r>
    <r>
      <rPr>
        <sz val="8"/>
        <color theme="1"/>
        <rFont val="Marianne"/>
      </rPr>
      <t xml:space="preserve"> Assistants familiaux exerçant en France métropolitaine en 2021.
</t>
    </r>
    <r>
      <rPr>
        <b/>
        <sz val="8"/>
        <color theme="1"/>
        <rFont val="Marianne"/>
      </rPr>
      <t xml:space="preserve">Source &gt; </t>
    </r>
    <r>
      <rPr>
        <sz val="8"/>
        <color theme="1"/>
        <rFont val="Marianne"/>
      </rPr>
      <t>DREES, enquête nationale sur les assistants familiaux.</t>
    </r>
  </si>
  <si>
    <t>Graphique 2 – Nombre d’enfants confiés par assistant familial en 2021</t>
  </si>
  <si>
    <r>
      <t>Si oui, quelles étaient-elles</t>
    </r>
    <r>
      <rPr>
        <b/>
        <sz val="8"/>
        <rFont val="Calibri"/>
        <family val="2"/>
      </rPr>
      <t> </t>
    </r>
    <r>
      <rPr>
        <b/>
        <sz val="8"/>
        <rFont val="Marianne"/>
      </rPr>
      <t>?</t>
    </r>
  </si>
  <si>
    <t>Aucun diplôme ou brevet des collèges</t>
  </si>
  <si>
    <t>Baccalauréat ou équivalent</t>
  </si>
  <si>
    <t xml:space="preserve">Bac +2 </t>
  </si>
  <si>
    <t>Non déterminé</t>
  </si>
  <si>
    <t xml:space="preserve">Plus haut diplôme de la population générale si elle avait la même répartition par âge et par sexe que les assistants familiaux </t>
  </si>
  <si>
    <t>Tableau complémentaire D – Parcours professionnel des assistants familiaux en 2021</t>
  </si>
  <si>
    <t>Tableau complémentaire E – Les employeurs des assistants familiaux en 2021</t>
  </si>
  <si>
    <t>Tableau complémentaire C– Motivations du choix de devenir assistant familial</t>
  </si>
  <si>
    <t>Tableau complémentaire A – Formation initiale et parcours avant d’exercer le métier d’assistant familial</t>
  </si>
  <si>
    <r>
      <t>Le dernier arrêt de travail est-il intervenu au cours des douze derniers mois</t>
    </r>
    <r>
      <rPr>
        <sz val="8"/>
        <rFont val="Calibri"/>
        <family val="2"/>
      </rPr>
      <t> </t>
    </r>
    <r>
      <rPr>
        <sz val="8"/>
        <rFont val="Marianne"/>
      </rPr>
      <t xml:space="preserve">? </t>
    </r>
  </si>
  <si>
    <t>1. La médiane correspond à la valeur qui partage la distribution en deux : la moitié des assistants familiaux sont âgés de 55 ans ou plus.</t>
  </si>
  <si>
    <r>
      <rPr>
        <b/>
        <sz val="8"/>
        <rFont val="Marianne"/>
      </rPr>
      <t xml:space="preserve">Lecture &gt; </t>
    </r>
    <r>
      <rPr>
        <sz val="8"/>
        <rFont val="Marianne"/>
      </rPr>
      <t>En 2021, 87  % des assistants familiaux sont en couple, avec une personne qui vit dans le même logement.</t>
    </r>
  </si>
  <si>
    <t xml:space="preserve">Dernier arrêt de travail en lien avec l’exercice de leur profession </t>
  </si>
  <si>
    <t>Oui, et l’a terminée</t>
  </si>
  <si>
    <t>1. Formation obligatoire depuis le décret n° 2005-1172 du 30 décembre 2005 ; cette question n’est donc posée qu'aux assistants familiaux ayant reçu leur agrément à partir de 2005.</t>
  </si>
  <si>
    <t>A bénéficié d’une autre formation après celle de 240 heures</t>
  </si>
  <si>
    <t xml:space="preserve">Si non, souhaitent-ils en bénéficier ? </t>
  </si>
  <si>
    <t xml:space="preserve">Supérieur à bac +2 </t>
  </si>
  <si>
    <r>
      <rPr>
        <b/>
        <sz val="8"/>
        <color theme="1"/>
        <rFont val="Marianne"/>
      </rPr>
      <t>Champ &gt;</t>
    </r>
    <r>
      <rPr>
        <sz val="8"/>
        <color theme="1"/>
        <rFont val="Marianne"/>
      </rPr>
      <t xml:space="preserve"> Personnes vivant en logement ordinaire, de 25 à 64 ans, France (hors Mayotte). </t>
    </r>
  </si>
  <si>
    <r>
      <rPr>
        <b/>
        <sz val="8"/>
        <color theme="1"/>
        <rFont val="Marianne"/>
      </rPr>
      <t xml:space="preserve">Source &gt; </t>
    </r>
    <r>
      <rPr>
        <sz val="8"/>
        <color theme="1"/>
        <rFont val="Marianne"/>
      </rPr>
      <t>DREES, enquête nationale sur les assistants familiaux ; Insee, enquête emploi.</t>
    </r>
  </si>
  <si>
    <r>
      <rPr>
        <b/>
        <sz val="8"/>
        <color theme="1"/>
        <rFont val="Marianne"/>
      </rPr>
      <t>Note &gt;</t>
    </r>
    <r>
      <rPr>
        <sz val="8"/>
        <color theme="1"/>
        <rFont val="Marianne"/>
      </rPr>
      <t xml:space="preserve"> Des assistants familiaux pouvaient ne pas accueillir d’enfants confiés au moment où ils ont été enquêtés.</t>
    </r>
  </si>
  <si>
    <r>
      <rPr>
        <b/>
        <sz val="8"/>
        <color theme="1"/>
        <rFont val="Marianne"/>
      </rPr>
      <t>Lecture &gt;</t>
    </r>
    <r>
      <rPr>
        <sz val="8"/>
        <color theme="1"/>
        <rFont val="Marianne"/>
      </rPr>
      <t xml:space="preserve"> En 2021, 35 % des assistants familiaux accueillent 2 enfants qui leur sont confiés au titre de l’aide sociale à l’enfance (ASE). </t>
    </r>
  </si>
  <si>
    <t>à domicile, en tant qu’assistante maternelle ou accueillante familiale</t>
  </si>
  <si>
    <r>
      <rPr>
        <b/>
        <sz val="8"/>
        <color theme="1"/>
        <rFont val="Marianne"/>
      </rPr>
      <t>Lecture &gt;</t>
    </r>
    <r>
      <rPr>
        <sz val="8"/>
        <color theme="1"/>
        <rFont val="Marianne"/>
      </rPr>
      <t xml:space="preserve"> En 2021, 62 % des assistants familiaux ont choisi ce métier, car ils souhaitaient travailler auprès d’enfants ou de jeunes.</t>
    </r>
  </si>
  <si>
    <r>
      <t>Tableau complémentaire B – Plus haut diplôme de la population générale</t>
    </r>
    <r>
      <rPr>
        <b/>
        <sz val="8"/>
        <color rgb="FFFF0000"/>
        <rFont val="Marianne"/>
      </rPr>
      <t>,</t>
    </r>
    <r>
      <rPr>
        <b/>
        <sz val="8"/>
        <rFont val="Marianne"/>
      </rPr>
      <t xml:space="preserve"> à structure d’âge et de sexe correspondant à celle des assistants familiaux </t>
    </r>
  </si>
  <si>
    <r>
      <rPr>
        <b/>
        <sz val="8"/>
        <color theme="1"/>
        <rFont val="Marianne"/>
      </rPr>
      <t>Lecture &gt;</t>
    </r>
    <r>
      <rPr>
        <sz val="8"/>
        <color theme="1"/>
        <rFont val="Marianne"/>
      </rPr>
      <t xml:space="preserve"> En 2022, 23 % de la population générale aurait pour plus haut diplôme un CAP, un BEP ou un diplôme du même niveau si elle avait la même structure par âge et par sexe que celle des assistants familiaux. </t>
    </r>
  </si>
  <si>
    <t>3. Q3 est la valeur qui correspond à 75 % de la distribution : les trois quart des assistants familiaux sont âgés de moins de 60 ans.</t>
  </si>
  <si>
    <t>Les congés non pris ont été…</t>
  </si>
  <si>
    <t>payés</t>
  </si>
  <si>
    <t>reportés (sur l’année suivante, 
compte épargne-temps)</t>
  </si>
  <si>
    <t>perdus (certains ou tous)</t>
  </si>
  <si>
    <t xml:space="preserve">        Si oui, l’assistant familial bénéficie en moyenne, par an </t>
  </si>
  <si>
    <t xml:space="preserve">        Si oui, souhaitent-ils bénéficier de davantage de 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</si>
</sst>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sz val="11"/>
      <color theme="1"/>
      <name val="Calibri"/>
      <family val="2"/>
      <scheme val="minor"/>
    </font>
    <font>
      <u/>
      <sz val="8"/>
      <color theme="1"/>
      <name val="Marianne"/>
    </font>
    <font>
      <sz val="8"/>
      <color theme="1"/>
      <name val="Marianne"/>
    </font>
    <font>
      <sz val="8"/>
      <name val="Marianne"/>
    </font>
    <font>
      <i/>
      <sz val="8"/>
      <name val="Marianne"/>
    </font>
    <font>
      <i/>
      <sz val="8"/>
      <color theme="1"/>
      <name val="Marianne"/>
    </font>
    <font>
      <sz val="8"/>
      <color rgb="FF000000"/>
      <name val="Marianne"/>
    </font>
    <font>
      <b/>
      <sz val="8"/>
      <color theme="1"/>
      <name val="Marianne"/>
    </font>
    <font>
      <vertAlign val="superscript"/>
      <sz val="8"/>
      <color theme="1"/>
      <name val="Marianne"/>
    </font>
    <font>
      <b/>
      <sz val="8"/>
      <color rgb="FFFF0000"/>
      <name val="Marianne"/>
    </font>
    <font>
      <b/>
      <sz val="8"/>
      <color theme="1"/>
      <name val="Calibri"/>
      <family val="2"/>
    </font>
    <font>
      <b/>
      <sz val="8"/>
      <name val="Marianne"/>
    </font>
    <font>
      <b/>
      <vertAlign val="superscript"/>
      <sz val="8"/>
      <color theme="1"/>
      <name val="Marianne"/>
    </font>
    <font>
      <b/>
      <sz val="8"/>
      <name val="Calibri"/>
      <family val="2"/>
    </font>
    <font>
      <sz val="8"/>
      <name val="Calibri"/>
      <family val="2"/>
    </font>
    <font>
      <vertAlign val="superscript"/>
      <sz val="8"/>
      <name val="Marianne"/>
    </font>
    <font>
      <b/>
      <sz val="11"/>
      <color theme="1"/>
      <name val="Marianne"/>
    </font>
    <font>
      <u/>
      <sz val="8"/>
      <name val="Marianne"/>
    </font>
    <font>
      <b/>
      <sz val="12"/>
      <color theme="1"/>
      <name val="Marianne"/>
    </font>
    <font>
      <b/>
      <sz val="12"/>
      <name val="Marianne"/>
    </font>
    <font>
      <b/>
      <sz val="8"/>
      <color theme="9"/>
      <name val="Marianne"/>
    </font>
    <font>
      <sz val="8"/>
      <color theme="1"/>
      <name val="Calibri"/>
      <family val="2"/>
    </font>
    <font>
      <sz val="10"/>
      <color rgb="FF000000"/>
      <name val="Lucida Console"/>
      <family val="3"/>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s>
  <cellStyleXfs count="2">
    <xf numFmtId="0" fontId="0" fillId="0" borderId="0"/>
    <xf numFmtId="9" fontId="1" fillId="0" borderId="0" applyFont="0" applyFill="0" applyBorder="0" applyAlignment="0" applyProtection="0"/>
  </cellStyleXfs>
  <cellXfs count="156">
    <xf numFmtId="0" fontId="0" fillId="0" borderId="0" xfId="0"/>
    <xf numFmtId="0" fontId="2" fillId="0" borderId="0" xfId="0" applyFont="1"/>
    <xf numFmtId="0" fontId="3" fillId="0" borderId="0" xfId="0" applyFont="1"/>
    <xf numFmtId="0" fontId="3" fillId="0" borderId="0" xfId="0" applyFont="1" applyAlignment="1">
      <alignment horizontal="center"/>
    </xf>
    <xf numFmtId="0" fontId="3" fillId="0" borderId="9" xfId="0" applyFont="1" applyBorder="1" applyAlignment="1">
      <alignment horizontal="left"/>
    </xf>
    <xf numFmtId="0" fontId="3" fillId="0" borderId="3" xfId="0" applyFont="1" applyBorder="1" applyAlignment="1">
      <alignment horizontal="center"/>
    </xf>
    <xf numFmtId="0" fontId="3" fillId="0" borderId="11" xfId="0" applyFont="1" applyBorder="1" applyAlignment="1">
      <alignment horizontal="left"/>
    </xf>
    <xf numFmtId="0" fontId="3" fillId="0" borderId="6" xfId="0" applyFont="1" applyBorder="1" applyAlignment="1">
      <alignment horizontal="center"/>
    </xf>
    <xf numFmtId="0" fontId="3" fillId="0" borderId="10" xfId="0" applyFont="1" applyBorder="1" applyAlignment="1">
      <alignment horizontal="left"/>
    </xf>
    <xf numFmtId="0" fontId="3" fillId="0" borderId="8" xfId="0" applyFont="1" applyBorder="1" applyAlignment="1">
      <alignment horizontal="center"/>
    </xf>
    <xf numFmtId="0" fontId="4" fillId="0" borderId="9" xfId="0" applyFont="1" applyFill="1" applyBorder="1"/>
    <xf numFmtId="0" fontId="3" fillId="0" borderId="9" xfId="0" applyFont="1" applyFill="1" applyBorder="1" applyAlignment="1">
      <alignment horizontal="center"/>
    </xf>
    <xf numFmtId="0" fontId="4" fillId="0" borderId="10" xfId="0" applyFont="1" applyFill="1" applyBorder="1"/>
    <xf numFmtId="0" fontId="3" fillId="0" borderId="10" xfId="0" applyFont="1" applyFill="1" applyBorder="1" applyAlignment="1">
      <alignment horizontal="center"/>
    </xf>
    <xf numFmtId="0" fontId="4" fillId="0" borderId="11" xfId="0" applyFont="1" applyFill="1" applyBorder="1"/>
    <xf numFmtId="0" fontId="3" fillId="0" borderId="11" xfId="0" applyFont="1" applyFill="1" applyBorder="1" applyAlignment="1">
      <alignment horizontal="center"/>
    </xf>
    <xf numFmtId="1" fontId="3" fillId="0" borderId="9" xfId="0" applyNumberFormat="1" applyFont="1" applyFill="1" applyBorder="1" applyAlignment="1">
      <alignment horizontal="center"/>
    </xf>
    <xf numFmtId="0" fontId="5" fillId="0" borderId="10" xfId="0" applyFont="1" applyFill="1" applyBorder="1" applyAlignment="1">
      <alignment horizontal="right"/>
    </xf>
    <xf numFmtId="0" fontId="6" fillId="0" borderId="10" xfId="0" applyFont="1" applyFill="1" applyBorder="1"/>
    <xf numFmtId="1" fontId="3" fillId="0" borderId="11" xfId="0" applyNumberFormat="1" applyFont="1" applyFill="1" applyBorder="1" applyAlignment="1">
      <alignment horizontal="center"/>
    </xf>
    <xf numFmtId="164" fontId="3" fillId="0" borderId="0" xfId="0" applyNumberFormat="1" applyFont="1" applyFill="1" applyBorder="1" applyAlignment="1">
      <alignment horizontal="center"/>
    </xf>
    <xf numFmtId="0" fontId="3" fillId="0" borderId="2" xfId="0" applyFont="1" applyBorder="1"/>
    <xf numFmtId="0" fontId="5" fillId="0" borderId="0" xfId="0" applyFont="1" applyAlignment="1">
      <alignment horizontal="right"/>
    </xf>
    <xf numFmtId="0" fontId="6" fillId="0" borderId="10" xfId="0" applyFont="1" applyFill="1" applyBorder="1" applyAlignment="1">
      <alignment horizontal="right"/>
    </xf>
    <xf numFmtId="0" fontId="5" fillId="0" borderId="10" xfId="0" applyFont="1" applyBorder="1" applyAlignment="1">
      <alignment horizontal="right"/>
    </xf>
    <xf numFmtId="0" fontId="3" fillId="0" borderId="5" xfId="0" applyFont="1" applyBorder="1"/>
    <xf numFmtId="0" fontId="4" fillId="0" borderId="9" xfId="0" applyFont="1" applyBorder="1"/>
    <xf numFmtId="0" fontId="3" fillId="0" borderId="9" xfId="0" applyFont="1" applyBorder="1" applyAlignment="1">
      <alignment horizontal="center"/>
    </xf>
    <xf numFmtId="0" fontId="4" fillId="0" borderId="10" xfId="0" applyFont="1" applyBorder="1"/>
    <xf numFmtId="0" fontId="3" fillId="0" borderId="10" xfId="0" applyFont="1" applyBorder="1" applyAlignment="1">
      <alignment horizontal="center"/>
    </xf>
    <xf numFmtId="0" fontId="4" fillId="0" borderId="10" xfId="0" applyFont="1" applyBorder="1" applyAlignment="1">
      <alignment wrapText="1"/>
    </xf>
    <xf numFmtId="0" fontId="4" fillId="0" borderId="11" xfId="0" applyFont="1" applyBorder="1"/>
    <xf numFmtId="0" fontId="3" fillId="0" borderId="11" xfId="0" applyFont="1" applyBorder="1" applyAlignment="1">
      <alignment horizontal="center"/>
    </xf>
    <xf numFmtId="0" fontId="4" fillId="0" borderId="1" xfId="0" applyFont="1" applyBorder="1"/>
    <xf numFmtId="0" fontId="4" fillId="0" borderId="7" xfId="0" applyFont="1" applyBorder="1"/>
    <xf numFmtId="0" fontId="4" fillId="0" borderId="7" xfId="0" applyFont="1" applyFill="1" applyBorder="1"/>
    <xf numFmtId="0" fontId="3" fillId="0" borderId="3" xfId="0" applyFont="1" applyFill="1" applyBorder="1" applyAlignment="1">
      <alignment horizontal="center"/>
    </xf>
    <xf numFmtId="0" fontId="3" fillId="0" borderId="8" xfId="0" applyFont="1" applyFill="1" applyBorder="1" applyAlignment="1">
      <alignment horizontal="center"/>
    </xf>
    <xf numFmtId="0" fontId="3" fillId="0" borderId="6" xfId="0" applyFont="1" applyFill="1" applyBorder="1" applyAlignment="1">
      <alignment horizontal="center"/>
    </xf>
    <xf numFmtId="0" fontId="6" fillId="0" borderId="10" xfId="0" applyFont="1" applyBorder="1" applyAlignment="1">
      <alignment horizontal="right"/>
    </xf>
    <xf numFmtId="0" fontId="6" fillId="0" borderId="8" xfId="0" applyFont="1" applyBorder="1" applyAlignment="1">
      <alignment horizontal="right"/>
    </xf>
    <xf numFmtId="0" fontId="3" fillId="0" borderId="0" xfId="0" applyFont="1" applyBorder="1" applyAlignment="1">
      <alignment horizontal="center" vertical="center" wrapText="1"/>
    </xf>
    <xf numFmtId="0" fontId="4" fillId="0" borderId="0" xfId="0" applyFont="1" applyFill="1" applyBorder="1"/>
    <xf numFmtId="0" fontId="7" fillId="0" borderId="0" xfId="0" applyFont="1" applyAlignment="1">
      <alignment vertical="center"/>
    </xf>
    <xf numFmtId="0" fontId="7" fillId="2" borderId="0" xfId="0" applyFont="1" applyFill="1" applyAlignment="1">
      <alignment vertical="center"/>
    </xf>
    <xf numFmtId="0" fontId="4" fillId="0" borderId="2" xfId="0" applyFont="1" applyFill="1" applyBorder="1" applyAlignment="1">
      <alignment horizontal="left"/>
    </xf>
    <xf numFmtId="0" fontId="4" fillId="0" borderId="0" xfId="0" applyFont="1" applyFill="1" applyBorder="1" applyAlignment="1">
      <alignment horizontal="left"/>
    </xf>
    <xf numFmtId="0" fontId="4" fillId="0" borderId="0" xfId="0" applyFont="1" applyBorder="1"/>
    <xf numFmtId="0" fontId="4" fillId="0" borderId="9" xfId="0" applyFont="1" applyFill="1" applyBorder="1" applyAlignment="1">
      <alignment horizontal="left"/>
    </xf>
    <xf numFmtId="0" fontId="4" fillId="0" borderId="11" xfId="0" applyFont="1" applyFill="1" applyBorder="1" applyAlignment="1">
      <alignment horizontal="left"/>
    </xf>
    <xf numFmtId="0" fontId="4" fillId="0" borderId="3" xfId="0" applyFont="1" applyBorder="1" applyAlignment="1">
      <alignment horizontal="center"/>
    </xf>
    <xf numFmtId="0" fontId="4" fillId="0" borderId="8" xfId="0" applyFont="1" applyBorder="1" applyAlignment="1">
      <alignment horizontal="center"/>
    </xf>
    <xf numFmtId="0" fontId="4" fillId="0" borderId="6" xfId="0" applyFont="1" applyBorder="1" applyAlignment="1">
      <alignment horizontal="center"/>
    </xf>
    <xf numFmtId="1" fontId="3" fillId="0" borderId="9" xfId="0" applyNumberFormat="1" applyFont="1" applyBorder="1" applyAlignment="1">
      <alignment horizontal="center"/>
    </xf>
    <xf numFmtId="0" fontId="4" fillId="0" borderId="3" xfId="0" applyFont="1" applyFill="1" applyBorder="1" applyAlignment="1">
      <alignment horizontal="center"/>
    </xf>
    <xf numFmtId="0" fontId="4" fillId="0" borderId="6" xfId="0" applyFont="1" applyFill="1" applyBorder="1" applyAlignment="1">
      <alignment horizontal="center"/>
    </xf>
    <xf numFmtId="0" fontId="3" fillId="0" borderId="9" xfId="0" applyFont="1" applyBorder="1"/>
    <xf numFmtId="0" fontId="3" fillId="0" borderId="10" xfId="0" applyFont="1" applyBorder="1"/>
    <xf numFmtId="0" fontId="3" fillId="0" borderId="11" xfId="0" applyFont="1" applyBorder="1"/>
    <xf numFmtId="0" fontId="3" fillId="0" borderId="3" xfId="0" applyFont="1" applyFill="1" applyBorder="1"/>
    <xf numFmtId="0" fontId="3" fillId="0" borderId="8" xfId="0" applyFont="1" applyFill="1" applyBorder="1"/>
    <xf numFmtId="0" fontId="3" fillId="0" borderId="6" xfId="0" applyFont="1" applyFill="1" applyBorder="1"/>
    <xf numFmtId="0" fontId="4" fillId="0" borderId="2" xfId="0" applyFont="1" applyBorder="1"/>
    <xf numFmtId="0" fontId="3" fillId="0" borderId="9" xfId="0" applyFont="1" applyFill="1" applyBorder="1"/>
    <xf numFmtId="0" fontId="3" fillId="0" borderId="10" xfId="0" applyFont="1" applyFill="1" applyBorder="1"/>
    <xf numFmtId="0" fontId="8" fillId="0" borderId="0" xfId="0" applyFont="1"/>
    <xf numFmtId="0" fontId="3" fillId="0" borderId="0" xfId="0" applyFont="1" applyBorder="1" applyAlignment="1">
      <alignment horizontal="center" vertical="center"/>
    </xf>
    <xf numFmtId="0" fontId="3" fillId="0" borderId="0" xfId="0" applyFont="1" applyBorder="1" applyAlignment="1">
      <alignment horizontal="left"/>
    </xf>
    <xf numFmtId="0" fontId="3" fillId="0" borderId="0" xfId="0" applyFont="1" applyBorder="1" applyAlignment="1">
      <alignment horizontal="center"/>
    </xf>
    <xf numFmtId="0" fontId="10" fillId="0" borderId="0" xfId="0" applyFont="1"/>
    <xf numFmtId="0" fontId="6" fillId="0" borderId="0" xfId="0" applyFont="1" applyAlignment="1">
      <alignment horizontal="right"/>
    </xf>
    <xf numFmtId="0" fontId="3" fillId="0" borderId="0" xfId="0" applyFont="1" applyBorder="1"/>
    <xf numFmtId="0" fontId="6" fillId="0" borderId="0" xfId="0" applyFont="1"/>
    <xf numFmtId="0" fontId="8" fillId="0" borderId="0" xfId="0" applyFont="1" applyAlignment="1">
      <alignment horizontal="left" wrapText="1"/>
    </xf>
    <xf numFmtId="0" fontId="2" fillId="0" borderId="0" xfId="0" applyFont="1" applyAlignment="1">
      <alignment horizontal="left"/>
    </xf>
    <xf numFmtId="0" fontId="8" fillId="0" borderId="10" xfId="0" applyFont="1" applyBorder="1"/>
    <xf numFmtId="0" fontId="8" fillId="0" borderId="11" xfId="0" applyFont="1" applyBorder="1"/>
    <xf numFmtId="0" fontId="12" fillId="0" borderId="0" xfId="0" applyFont="1"/>
    <xf numFmtId="0" fontId="4" fillId="0" borderId="0" xfId="0" applyFont="1"/>
    <xf numFmtId="0" fontId="4" fillId="0" borderId="10" xfId="0" applyFont="1" applyBorder="1" applyAlignment="1">
      <alignment horizontal="left"/>
    </xf>
    <xf numFmtId="0" fontId="17" fillId="3" borderId="0" xfId="0" applyFont="1" applyFill="1"/>
    <xf numFmtId="0" fontId="3" fillId="3" borderId="0" xfId="0" applyFont="1" applyFill="1"/>
    <xf numFmtId="0" fontId="12" fillId="0" borderId="9" xfId="0" applyFont="1" applyBorder="1"/>
    <xf numFmtId="0" fontId="8" fillId="0" borderId="12" xfId="0" applyFont="1" applyBorder="1" applyAlignment="1">
      <alignment vertical="center" wrapText="1"/>
    </xf>
    <xf numFmtId="0" fontId="21" fillId="0" borderId="0" xfId="0" applyFont="1" applyFill="1"/>
    <xf numFmtId="0" fontId="19" fillId="3" borderId="0" xfId="0" applyFont="1" applyFill="1"/>
    <xf numFmtId="0" fontId="20" fillId="3" borderId="0" xfId="0" applyFont="1" applyFill="1"/>
    <xf numFmtId="0" fontId="3" fillId="0" borderId="10" xfId="0" applyFont="1" applyBorder="1" applyAlignment="1">
      <alignment horizontal="center" vertical="center"/>
    </xf>
    <xf numFmtId="0" fontId="12" fillId="0" borderId="13" xfId="0" applyFont="1" applyBorder="1" applyAlignment="1">
      <alignment vertical="center" wrapText="1"/>
    </xf>
    <xf numFmtId="0" fontId="6" fillId="0" borderId="12" xfId="0" applyFont="1" applyBorder="1" applyAlignment="1">
      <alignment horizontal="right" vertical="top"/>
    </xf>
    <xf numFmtId="0" fontId="3" fillId="0" borderId="0" xfId="0" applyFont="1"/>
    <xf numFmtId="0" fontId="23" fillId="0" borderId="0" xfId="0" applyFont="1" applyAlignment="1">
      <alignment vertical="center"/>
    </xf>
    <xf numFmtId="0" fontId="3" fillId="0" borderId="0" xfId="0" applyFont="1"/>
    <xf numFmtId="0" fontId="3" fillId="0" borderId="5" xfId="0" applyFont="1" applyBorder="1" applyAlignment="1">
      <alignment vertical="center" wrapText="1"/>
    </xf>
    <xf numFmtId="0" fontId="12" fillId="3" borderId="0" xfId="0" applyFont="1" applyFill="1"/>
    <xf numFmtId="0" fontId="2" fillId="3" borderId="0" xfId="0" applyFont="1" applyFill="1"/>
    <xf numFmtId="0" fontId="6" fillId="3" borderId="0" xfId="0" applyFont="1" applyFill="1" applyAlignment="1">
      <alignment horizontal="right"/>
    </xf>
    <xf numFmtId="0" fontId="4" fillId="3" borderId="11" xfId="0" applyFont="1" applyFill="1" applyBorder="1"/>
    <xf numFmtId="0" fontId="3" fillId="3" borderId="11" xfId="0" applyFont="1" applyFill="1" applyBorder="1" applyAlignment="1">
      <alignment horizontal="center"/>
    </xf>
    <xf numFmtId="0" fontId="4" fillId="3" borderId="12" xfId="0" applyFont="1" applyFill="1" applyBorder="1"/>
    <xf numFmtId="0" fontId="3" fillId="3" borderId="12" xfId="0" applyFont="1" applyFill="1" applyBorder="1" applyAlignment="1">
      <alignment horizontal="center"/>
    </xf>
    <xf numFmtId="0" fontId="3" fillId="3" borderId="12" xfId="0" applyFont="1" applyFill="1" applyBorder="1"/>
    <xf numFmtId="0" fontId="8" fillId="0" borderId="12" xfId="0" applyFont="1" applyBorder="1"/>
    <xf numFmtId="0" fontId="3" fillId="0" borderId="12" xfId="0" applyFont="1" applyBorder="1"/>
    <xf numFmtId="164" fontId="3" fillId="0" borderId="12" xfId="1" applyNumberFormat="1" applyFont="1" applyBorder="1"/>
    <xf numFmtId="2" fontId="3" fillId="0" borderId="12" xfId="0" applyNumberFormat="1" applyFont="1" applyBorder="1"/>
    <xf numFmtId="164" fontId="3" fillId="0" borderId="12" xfId="0" applyNumberFormat="1" applyFont="1" applyBorder="1"/>
    <xf numFmtId="0" fontId="3" fillId="0" borderId="12" xfId="0" applyNumberFormat="1" applyFont="1" applyBorder="1"/>
    <xf numFmtId="164" fontId="4" fillId="0" borderId="12" xfId="1" applyNumberFormat="1" applyFont="1" applyBorder="1"/>
    <xf numFmtId="0" fontId="4" fillId="0" borderId="12" xfId="0" applyFont="1" applyBorder="1"/>
    <xf numFmtId="0" fontId="4" fillId="0" borderId="0" xfId="0" applyFont="1" applyBorder="1" applyAlignment="1">
      <alignment vertical="center" wrapText="1"/>
    </xf>
    <xf numFmtId="0" fontId="3" fillId="0" borderId="16" xfId="0" applyFont="1" applyBorder="1"/>
    <xf numFmtId="0" fontId="4" fillId="0" borderId="16" xfId="0" applyFont="1" applyBorder="1"/>
    <xf numFmtId="0" fontId="3" fillId="0" borderId="17" xfId="0" applyFont="1" applyBorder="1"/>
    <xf numFmtId="0" fontId="3" fillId="0" borderId="0" xfId="0" applyFont="1"/>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9" xfId="0" applyFont="1" applyBorder="1" applyAlignment="1">
      <alignment horizontal="center" vertical="center" wrapText="1"/>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8" fillId="0" borderId="16" xfId="0" applyFont="1" applyBorder="1" applyAlignment="1">
      <alignment horizontal="right" vertical="center"/>
    </xf>
    <xf numFmtId="0" fontId="8" fillId="0" borderId="17" xfId="0" applyFont="1" applyBorder="1" applyAlignment="1">
      <alignment horizontal="right" vertical="center"/>
    </xf>
    <xf numFmtId="0" fontId="8" fillId="0" borderId="10" xfId="0" applyFont="1" applyBorder="1" applyAlignment="1">
      <alignment horizontal="right" vertical="center"/>
    </xf>
    <xf numFmtId="0" fontId="8" fillId="0" borderId="11" xfId="0" applyFont="1" applyBorder="1" applyAlignment="1">
      <alignment horizontal="right"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8" fillId="3" borderId="1"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4" xfId="0" applyFont="1" applyFill="1" applyBorder="1" applyAlignment="1">
      <alignment horizontal="center" vertical="center"/>
    </xf>
    <xf numFmtId="0" fontId="12" fillId="0" borderId="1"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left" wrapText="1"/>
    </xf>
    <xf numFmtId="0" fontId="18" fillId="0" borderId="0" xfId="0" applyFont="1" applyAlignment="1">
      <alignment horizontal="left"/>
    </xf>
    <xf numFmtId="0" fontId="12" fillId="0" borderId="1"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56"/>
  <sheetViews>
    <sheetView zoomScaleNormal="100" workbookViewId="0"/>
  </sheetViews>
  <sheetFormatPr baseColWidth="10" defaultColWidth="10.81640625" defaultRowHeight="12.5" x14ac:dyDescent="0.35"/>
  <cols>
    <col min="1" max="1" width="5" style="2" customWidth="1"/>
    <col min="2" max="2" width="15.81640625" style="2" customWidth="1"/>
    <col min="3" max="3" width="10.81640625" style="2"/>
    <col min="4" max="4" width="18.54296875" style="2" bestFit="1" customWidth="1"/>
    <col min="5" max="16384" width="10.81640625" style="2"/>
  </cols>
  <sheetData>
    <row r="2" spans="2:20" x14ac:dyDescent="0.35">
      <c r="B2" s="77" t="s">
        <v>166</v>
      </c>
      <c r="C2" s="69"/>
    </row>
    <row r="3" spans="2:20" x14ac:dyDescent="0.35">
      <c r="B3" s="84"/>
      <c r="C3" s="69"/>
    </row>
    <row r="4" spans="2:20" x14ac:dyDescent="0.35">
      <c r="D4" s="70" t="s">
        <v>32</v>
      </c>
    </row>
    <row r="5" spans="2:20" x14ac:dyDescent="0.35">
      <c r="B5" s="102" t="s">
        <v>63</v>
      </c>
      <c r="C5" s="102" t="s">
        <v>56</v>
      </c>
      <c r="D5" s="102" t="s">
        <v>57</v>
      </c>
    </row>
    <row r="6" spans="2:20" x14ac:dyDescent="0.35">
      <c r="B6" s="103" t="s">
        <v>165</v>
      </c>
      <c r="C6" s="104">
        <f>0.000593968726893085*100</f>
        <v>5.9396872689308496E-2</v>
      </c>
      <c r="D6" s="105">
        <f>-0.00028198813188761*100</f>
        <v>-2.8198813188761E-2</v>
      </c>
      <c r="E6" s="81"/>
      <c r="F6" s="81"/>
      <c r="G6" s="81"/>
      <c r="H6" s="81"/>
    </row>
    <row r="7" spans="2:20" x14ac:dyDescent="0.35">
      <c r="B7" s="103" t="s">
        <v>164</v>
      </c>
      <c r="C7" s="104">
        <f>0.000274480336316902*100</f>
        <v>2.7448033631690204E-2</v>
      </c>
      <c r="D7" s="106">
        <f>0*100</f>
        <v>0</v>
      </c>
    </row>
    <row r="8" spans="2:20" x14ac:dyDescent="0.35">
      <c r="B8" s="103" t="s">
        <v>163</v>
      </c>
      <c r="C8" s="104">
        <f>0.00027382697605476*100</f>
        <v>2.7382697605475997E-2</v>
      </c>
      <c r="D8" s="106">
        <f>0*100</f>
        <v>0</v>
      </c>
      <c r="F8" s="91"/>
    </row>
    <row r="9" spans="2:20" x14ac:dyDescent="0.35">
      <c r="B9" s="103" t="s">
        <v>162</v>
      </c>
      <c r="C9" s="104">
        <f>0.00094697182286884*100</f>
        <v>9.4697182286884007E-2</v>
      </c>
      <c r="D9" s="106">
        <f>D99*100</f>
        <v>0</v>
      </c>
      <c r="F9" s="91"/>
    </row>
    <row r="10" spans="2:20" x14ac:dyDescent="0.35">
      <c r="B10" s="103" t="s">
        <v>161</v>
      </c>
      <c r="C10" s="104">
        <f>0.000935753406459844*100</f>
        <v>9.3575340645984398E-2</v>
      </c>
      <c r="D10" s="106">
        <f>0*100</f>
        <v>0</v>
      </c>
      <c r="F10" s="91"/>
    </row>
    <row r="11" spans="2:20" x14ac:dyDescent="0.35">
      <c r="B11" s="103" t="s">
        <v>160</v>
      </c>
      <c r="C11" s="104">
        <f>0.0017786362431455*100</f>
        <v>0.17786362431455</v>
      </c>
      <c r="D11" s="106">
        <f>0*100</f>
        <v>0</v>
      </c>
      <c r="F11" s="91"/>
    </row>
    <row r="12" spans="2:20" x14ac:dyDescent="0.35">
      <c r="B12" s="103" t="s">
        <v>159</v>
      </c>
      <c r="C12" s="104">
        <v>1.6948292993702041E-3</v>
      </c>
      <c r="D12" s="106">
        <f>-0.000365462841192877*100</f>
        <v>-3.6546284119287703E-2</v>
      </c>
      <c r="F12" s="91"/>
    </row>
    <row r="13" spans="2:20" x14ac:dyDescent="0.35">
      <c r="B13" s="103" t="s">
        <v>158</v>
      </c>
      <c r="C13" s="104">
        <f>0.00336153643836029*100</f>
        <v>0.33615364383602897</v>
      </c>
      <c r="D13" s="107">
        <f>0*100</f>
        <v>0</v>
      </c>
      <c r="F13" s="91"/>
    </row>
    <row r="14" spans="2:20" x14ac:dyDescent="0.35">
      <c r="B14" s="103" t="s">
        <v>157</v>
      </c>
      <c r="C14" s="108">
        <f>0.00226277435083082*100</f>
        <v>0.22627743508308201</v>
      </c>
      <c r="D14" s="107">
        <f>0*100</f>
        <v>0</v>
      </c>
      <c r="F14" s="91"/>
    </row>
    <row r="15" spans="2:20" x14ac:dyDescent="0.35">
      <c r="B15" s="103" t="s">
        <v>156</v>
      </c>
      <c r="C15" s="104">
        <f>0.00462982811813612*100</f>
        <v>0.46298281181361195</v>
      </c>
      <c r="D15" s="106">
        <f>-0.00121798801030674*100</f>
        <v>-0.121798801030674</v>
      </c>
      <c r="F15" s="91"/>
    </row>
    <row r="16" spans="2:20" ht="18.5" x14ac:dyDescent="0.5">
      <c r="B16" s="103" t="s">
        <v>155</v>
      </c>
      <c r="C16" s="104">
        <f>0.00466434735284815*100</f>
        <v>0.46643473528481499</v>
      </c>
      <c r="D16" s="106">
        <f>0*100</f>
        <v>0</v>
      </c>
      <c r="F16" s="91"/>
      <c r="P16" s="86"/>
      <c r="Q16" s="86"/>
      <c r="R16" s="86"/>
      <c r="S16" s="81"/>
      <c r="T16" s="81"/>
    </row>
    <row r="17" spans="2:20" ht="18.5" x14ac:dyDescent="0.5">
      <c r="B17" s="103" t="s">
        <v>154</v>
      </c>
      <c r="C17" s="104">
        <f>0.00573866574722189*100</f>
        <v>0.57386657472218894</v>
      </c>
      <c r="D17" s="106">
        <f>-0.00166374578235624*100</f>
        <v>-0.16637457823562402</v>
      </c>
      <c r="F17" s="91"/>
      <c r="P17" s="85"/>
      <c r="Q17" s="85"/>
      <c r="R17" s="85"/>
      <c r="S17" s="81"/>
      <c r="T17" s="81"/>
    </row>
    <row r="18" spans="2:20" x14ac:dyDescent="0.35">
      <c r="B18" s="103" t="s">
        <v>153</v>
      </c>
      <c r="C18" s="104">
        <f>0.00788632790336264*100</f>
        <v>0.78863279033626399</v>
      </c>
      <c r="D18" s="106">
        <f>-0.000282044437350064*100</f>
        <v>-2.8204443735006399E-2</v>
      </c>
      <c r="F18" s="91"/>
    </row>
    <row r="19" spans="2:20" x14ac:dyDescent="0.35">
      <c r="B19" s="103" t="s">
        <v>152</v>
      </c>
      <c r="C19" s="104">
        <f>0.00899914604433214*100</f>
        <v>0.89991460443321403</v>
      </c>
      <c r="D19" s="106">
        <f>-0.00030415932368206*100</f>
        <v>-3.0415932368206004E-2</v>
      </c>
      <c r="F19" s="91"/>
    </row>
    <row r="20" spans="2:20" x14ac:dyDescent="0.35">
      <c r="B20" s="103" t="s">
        <v>151</v>
      </c>
      <c r="C20" s="104">
        <f>0.0123335830241322*100</f>
        <v>1.23335830241322</v>
      </c>
      <c r="D20" s="106">
        <f>-0.000974848654399009*100</f>
        <v>-9.7484865439900897E-2</v>
      </c>
    </row>
    <row r="21" spans="2:20" x14ac:dyDescent="0.35">
      <c r="B21" s="103" t="s">
        <v>150</v>
      </c>
      <c r="C21" s="104">
        <f>0.0104268060709083*100</f>
        <v>1.0426806070908301</v>
      </c>
      <c r="D21" s="106">
        <f>-0.00187868553955392*100</f>
        <v>-0.18786855395539198</v>
      </c>
    </row>
    <row r="22" spans="2:20" x14ac:dyDescent="0.35">
      <c r="B22" s="103" t="s">
        <v>149</v>
      </c>
      <c r="C22" s="104">
        <f>0.0150297816421008*100</f>
        <v>1.5029781642100801</v>
      </c>
      <c r="D22" s="106">
        <f>-0.00158302312343423*100</f>
        <v>-0.15830231234342301</v>
      </c>
    </row>
    <row r="23" spans="2:20" ht="17.5" x14ac:dyDescent="0.5">
      <c r="B23" s="103" t="s">
        <v>148</v>
      </c>
      <c r="C23" s="104">
        <f>0.0105554540284272*100</f>
        <v>1.05554540284272</v>
      </c>
      <c r="D23" s="106">
        <f>-0.000587290535595834*100</f>
        <v>-5.8729053559583404E-2</v>
      </c>
      <c r="P23" s="80"/>
      <c r="Q23" s="81"/>
      <c r="R23" s="81"/>
    </row>
    <row r="24" spans="2:20" x14ac:dyDescent="0.35">
      <c r="B24" s="103" t="s">
        <v>147</v>
      </c>
      <c r="C24" s="104">
        <f>0.0192668754958049*100</f>
        <v>1.92668754958049</v>
      </c>
      <c r="D24" s="106">
        <f>-0.000748603838966716*100</f>
        <v>-7.4860383896671601E-2</v>
      </c>
    </row>
    <row r="25" spans="2:20" x14ac:dyDescent="0.35">
      <c r="B25" s="103" t="s">
        <v>146</v>
      </c>
      <c r="C25" s="104">
        <f>0.0194357884245299*100</f>
        <v>1.9435788424529901</v>
      </c>
      <c r="D25" s="106">
        <f>-0.0029165218046216*100</f>
        <v>-0.29165218046215996</v>
      </c>
    </row>
    <row r="26" spans="2:20" x14ac:dyDescent="0.35">
      <c r="B26" s="103" t="s">
        <v>145</v>
      </c>
      <c r="C26" s="104">
        <f>0.0213987511068329*100</f>
        <v>2.1398751106832901</v>
      </c>
      <c r="D26" s="106">
        <f>-0.00129443649548748*100</f>
        <v>-0.12944364954874799</v>
      </c>
    </row>
    <row r="27" spans="2:20" x14ac:dyDescent="0.35">
      <c r="B27" s="103" t="s">
        <v>144</v>
      </c>
      <c r="C27" s="104">
        <f>0.0274071187002395*100</f>
        <v>2.7407118700239499</v>
      </c>
      <c r="D27" s="106">
        <f>-0.00270911446381112*100</f>
        <v>-0.27091144638111198</v>
      </c>
    </row>
    <row r="28" spans="2:20" x14ac:dyDescent="0.35">
      <c r="B28" s="103" t="s">
        <v>143</v>
      </c>
      <c r="C28" s="104">
        <f>0.0255972446496301*100</f>
        <v>2.55972446496301</v>
      </c>
      <c r="D28" s="106">
        <f>-0.00285878801239571*100</f>
        <v>-0.28587880123957099</v>
      </c>
    </row>
    <row r="29" spans="2:20" x14ac:dyDescent="0.35">
      <c r="B29" s="103" t="s">
        <v>142</v>
      </c>
      <c r="C29" s="104">
        <f>0.0327535026784637*100</f>
        <v>3.27535026784637</v>
      </c>
      <c r="D29" s="106">
        <f>-0.00202460165843841*100</f>
        <v>-0.20246016584384102</v>
      </c>
    </row>
    <row r="30" spans="2:20" x14ac:dyDescent="0.35">
      <c r="B30" s="103" t="s">
        <v>141</v>
      </c>
      <c r="C30" s="104">
        <f>0.0297468389060545*100</f>
        <v>2.97468389060545</v>
      </c>
      <c r="D30" s="106">
        <f>-0.00239351712948544*100</f>
        <v>-0.23935171294854402</v>
      </c>
    </row>
    <row r="31" spans="2:20" x14ac:dyDescent="0.35">
      <c r="B31" s="103" t="s">
        <v>140</v>
      </c>
      <c r="C31" s="104">
        <f>0.0337369512375073*100</f>
        <v>3.3736951237507298</v>
      </c>
      <c r="D31" s="106">
        <f>-0.00586228698401961*100</f>
        <v>-0.58622869840196101</v>
      </c>
    </row>
    <row r="32" spans="2:20" x14ac:dyDescent="0.35">
      <c r="B32" s="103" t="s">
        <v>139</v>
      </c>
      <c r="C32" s="104">
        <f>0.0358684701104908*100</f>
        <v>3.5868470110490795</v>
      </c>
      <c r="D32" s="106">
        <f>-0.00572861564717596*100</f>
        <v>-0.57286156471759597</v>
      </c>
    </row>
    <row r="33" spans="2:4" x14ac:dyDescent="0.35">
      <c r="B33" s="103" t="s">
        <v>138</v>
      </c>
      <c r="C33" s="104">
        <f>0.0414662347060406*100</f>
        <v>4.1466234706040597</v>
      </c>
      <c r="D33" s="106">
        <f>-0.00456364668929131*100</f>
        <v>-0.45636466892913102</v>
      </c>
    </row>
    <row r="34" spans="2:4" x14ac:dyDescent="0.35">
      <c r="B34" s="103" t="s">
        <v>137</v>
      </c>
      <c r="C34" s="104">
        <f>0.0370098986660797*100</f>
        <v>3.7009898666079697</v>
      </c>
      <c r="D34" s="106">
        <f>-0.00307763573799997*100</f>
        <v>-0.30776357379999703</v>
      </c>
    </row>
    <row r="35" spans="2:4" x14ac:dyDescent="0.35">
      <c r="B35" s="103" t="s">
        <v>136</v>
      </c>
      <c r="C35" s="104">
        <f>0.036641915239489*100</f>
        <v>3.6641915239489</v>
      </c>
      <c r="D35" s="106">
        <f>-0.00394456640028492*100</f>
        <v>-0.39445664002849201</v>
      </c>
    </row>
    <row r="36" spans="2:4" x14ac:dyDescent="0.35">
      <c r="B36" s="103" t="s">
        <v>135</v>
      </c>
      <c r="C36" s="104">
        <f>0.0440359176464397*100</f>
        <v>4.40359176464397</v>
      </c>
      <c r="D36" s="106">
        <f>-0.00563855390221541*100</f>
        <v>-0.56385539022154096</v>
      </c>
    </row>
    <row r="37" spans="2:4" x14ac:dyDescent="0.35">
      <c r="B37" s="103" t="s">
        <v>134</v>
      </c>
      <c r="C37" s="104">
        <f>0.047015972471436*100</f>
        <v>4.7015972471435994</v>
      </c>
      <c r="D37" s="106">
        <f>-0.00744310921163383*100</f>
        <v>-0.74431092116338304</v>
      </c>
    </row>
    <row r="38" spans="2:4" x14ac:dyDescent="0.35">
      <c r="B38" s="103" t="s">
        <v>133</v>
      </c>
      <c r="C38" s="104">
        <f>0.0470027326566834*100</f>
        <v>4.7002732656683399</v>
      </c>
      <c r="D38" s="106">
        <f>-0.00683556163548303*100</f>
        <v>-0.68355616354830306</v>
      </c>
    </row>
    <row r="39" spans="2:4" x14ac:dyDescent="0.35">
      <c r="B39" s="103" t="s">
        <v>132</v>
      </c>
      <c r="C39" s="104">
        <f>0.0430760380381147*100</f>
        <v>4.3076038038114701</v>
      </c>
      <c r="D39" s="106">
        <f>-0.00539302439261622*100</f>
        <v>-0.53930243926162191</v>
      </c>
    </row>
    <row r="40" spans="2:4" x14ac:dyDescent="0.35">
      <c r="B40" s="103" t="s">
        <v>131</v>
      </c>
      <c r="C40" s="104">
        <f>0.0442898624924914*100</f>
        <v>4.4289862492491405</v>
      </c>
      <c r="D40" s="106">
        <f>-0.00530493679748009*100</f>
        <v>-0.53049367974800898</v>
      </c>
    </row>
    <row r="41" spans="2:4" x14ac:dyDescent="0.35">
      <c r="B41" s="103" t="s">
        <v>130</v>
      </c>
      <c r="C41" s="104">
        <f>0.041268167946104*100</f>
        <v>4.1268167946104004</v>
      </c>
      <c r="D41" s="106">
        <f>-0.00554466397201788*100</f>
        <v>-0.55446639720178803</v>
      </c>
    </row>
    <row r="42" spans="2:4" x14ac:dyDescent="0.35">
      <c r="B42" s="103" t="s">
        <v>129</v>
      </c>
      <c r="C42" s="104">
        <f>0.040923067663251*100</f>
        <v>4.0923067663251</v>
      </c>
      <c r="D42" s="106">
        <f>-0.00309591118386459*100</f>
        <v>-0.30959111838645903</v>
      </c>
    </row>
    <row r="43" spans="2:4" x14ac:dyDescent="0.35">
      <c r="B43" s="103" t="s">
        <v>128</v>
      </c>
      <c r="C43" s="104">
        <f>0.0305971841363529*100</f>
        <v>3.0597184136352902</v>
      </c>
      <c r="D43" s="106">
        <f>-0.00396462673810249*100</f>
        <v>-0.39646267381024902</v>
      </c>
    </row>
    <row r="44" spans="2:4" x14ac:dyDescent="0.35">
      <c r="B44" s="103" t="s">
        <v>127</v>
      </c>
      <c r="C44" s="104">
        <f>0.0251737299680213*100</f>
        <v>2.5173729968021301</v>
      </c>
      <c r="D44" s="106">
        <f>-0.00244725068386393*100</f>
        <v>-0.24472506838639302</v>
      </c>
    </row>
    <row r="45" spans="2:4" x14ac:dyDescent="0.35">
      <c r="B45" s="103" t="s">
        <v>126</v>
      </c>
      <c r="C45" s="104">
        <f>0.0210680014772133*100</f>
        <v>2.1068001477213301</v>
      </c>
      <c r="D45" s="106">
        <f>-0.00436437365589951*100</f>
        <v>-0.43643736558995094</v>
      </c>
    </row>
    <row r="46" spans="2:4" x14ac:dyDescent="0.35">
      <c r="B46" s="103" t="s">
        <v>125</v>
      </c>
      <c r="C46" s="104">
        <f>0.0206930739251969*100</f>
        <v>2.0693073925196903</v>
      </c>
      <c r="D46" s="106">
        <f>-0.00163350233346274*100</f>
        <v>-0.16335023334627399</v>
      </c>
    </row>
    <row r="47" spans="2:4" x14ac:dyDescent="0.35">
      <c r="B47" s="103" t="s">
        <v>124</v>
      </c>
      <c r="C47" s="104">
        <f>0.0120427360000589*100</f>
        <v>1.20427360000589</v>
      </c>
      <c r="D47" s="106">
        <f>-0.00153853752876279*100</f>
        <v>-0.153853752876279</v>
      </c>
    </row>
    <row r="48" spans="2:4" x14ac:dyDescent="0.35">
      <c r="B48" s="103" t="s">
        <v>123</v>
      </c>
      <c r="C48" s="104">
        <f>0.0109878096348877*100</f>
        <v>1.0987809634887702</v>
      </c>
      <c r="D48" s="106">
        <f>-0.000974461579991318*100</f>
        <v>-9.7446157999131797E-2</v>
      </c>
    </row>
    <row r="49" spans="2:5" x14ac:dyDescent="0.35">
      <c r="B49" s="103" t="s">
        <v>122</v>
      </c>
      <c r="C49" s="104">
        <f>0.00540699905080937*100</f>
        <v>0.54069990508093702</v>
      </c>
      <c r="D49" s="106">
        <f>0*100</f>
        <v>0</v>
      </c>
    </row>
    <row r="50" spans="2:5" x14ac:dyDescent="0.35">
      <c r="B50" s="109" t="s">
        <v>121</v>
      </c>
      <c r="C50" s="104">
        <f>0.0108954212813907*100</f>
        <v>1.08954212813907</v>
      </c>
      <c r="D50" s="106">
        <f>-0.0013668933014856*100</f>
        <v>-0.13668933014856</v>
      </c>
    </row>
    <row r="52" spans="2:5" ht="68.150000000000006" customHeight="1" x14ac:dyDescent="0.35">
      <c r="B52" s="115" t="s">
        <v>168</v>
      </c>
      <c r="C52" s="116"/>
      <c r="D52" s="116"/>
      <c r="E52" s="117"/>
    </row>
    <row r="53" spans="2:5" x14ac:dyDescent="0.35">
      <c r="B53" s="114"/>
      <c r="C53" s="114"/>
      <c r="D53" s="114"/>
    </row>
    <row r="54" spans="2:5" x14ac:dyDescent="0.35">
      <c r="B54" s="114"/>
      <c r="C54" s="114"/>
      <c r="D54" s="114"/>
    </row>
    <row r="55" spans="2:5" x14ac:dyDescent="0.35">
      <c r="B55" s="114"/>
      <c r="C55" s="114"/>
      <c r="D55" s="114"/>
    </row>
    <row r="56" spans="2:5" x14ac:dyDescent="0.35">
      <c r="B56" s="114"/>
      <c r="C56" s="114"/>
      <c r="D56" s="114"/>
    </row>
  </sheetData>
  <mergeCells count="5">
    <mergeCell ref="B53:D53"/>
    <mergeCell ref="B54:D54"/>
    <mergeCell ref="B55:D55"/>
    <mergeCell ref="B56:D56"/>
    <mergeCell ref="B52:E5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1"/>
  <sheetViews>
    <sheetView zoomScale="99" zoomScaleNormal="99" workbookViewId="0">
      <selection activeCell="B19" sqref="B19"/>
    </sheetView>
  </sheetViews>
  <sheetFormatPr baseColWidth="10" defaultColWidth="10.81640625" defaultRowHeight="12.5" x14ac:dyDescent="0.35"/>
  <cols>
    <col min="1" max="1" width="2.81640625" style="2" customWidth="1"/>
    <col min="2" max="2" width="56" style="2" customWidth="1"/>
    <col min="3" max="3" width="83.54296875" style="2" customWidth="1"/>
    <col min="4" max="4" width="55" style="2" customWidth="1"/>
    <col min="5" max="5" width="20.26953125" style="2" customWidth="1"/>
    <col min="6" max="16384" width="10.81640625" style="2"/>
  </cols>
  <sheetData>
    <row r="2" spans="2:4" x14ac:dyDescent="0.35">
      <c r="B2" s="77" t="s">
        <v>177</v>
      </c>
    </row>
    <row r="3" spans="2:4" x14ac:dyDescent="0.35">
      <c r="C3" s="70" t="s">
        <v>32</v>
      </c>
    </row>
    <row r="4" spans="2:4" x14ac:dyDescent="0.35">
      <c r="C4" s="83" t="s">
        <v>114</v>
      </c>
      <c r="D4" s="44"/>
    </row>
    <row r="5" spans="2:4" x14ac:dyDescent="0.35">
      <c r="B5" s="82" t="s">
        <v>113</v>
      </c>
      <c r="C5" s="5">
        <v>88</v>
      </c>
    </row>
    <row r="6" spans="2:4" x14ac:dyDescent="0.35">
      <c r="B6" s="75" t="s">
        <v>42</v>
      </c>
      <c r="C6" s="9">
        <v>10</v>
      </c>
    </row>
    <row r="7" spans="2:4" x14ac:dyDescent="0.35">
      <c r="B7" s="76" t="s">
        <v>43</v>
      </c>
      <c r="C7" s="7">
        <v>2</v>
      </c>
    </row>
    <row r="8" spans="2:4" x14ac:dyDescent="0.35">
      <c r="B8" s="71"/>
      <c r="C8" s="68"/>
    </row>
    <row r="9" spans="2:4" x14ac:dyDescent="0.35">
      <c r="B9" s="2" t="s">
        <v>103</v>
      </c>
    </row>
    <row r="10" spans="2:4" x14ac:dyDescent="0.35">
      <c r="B10" s="2" t="s">
        <v>58</v>
      </c>
    </row>
    <row r="11" spans="2:4" x14ac:dyDescent="0.35">
      <c r="B11" s="2" t="s">
        <v>64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4"/>
  <sheetViews>
    <sheetView zoomScaleNormal="100" workbookViewId="0"/>
  </sheetViews>
  <sheetFormatPr baseColWidth="10" defaultColWidth="10.81640625" defaultRowHeight="12.5" x14ac:dyDescent="0.35"/>
  <cols>
    <col min="1" max="1" width="3.26953125" style="2" customWidth="1"/>
    <col min="2" max="2" width="25.1796875" style="2" customWidth="1"/>
    <col min="3" max="3" width="83.54296875" style="2" customWidth="1"/>
    <col min="4" max="4" width="55" style="2" customWidth="1"/>
    <col min="5" max="5" width="20.26953125" style="2" customWidth="1"/>
    <col min="6" max="16384" width="10.81640625" style="2"/>
  </cols>
  <sheetData>
    <row r="2" spans="2:5" x14ac:dyDescent="0.35">
      <c r="B2" s="65" t="s">
        <v>169</v>
      </c>
    </row>
    <row r="4" spans="2:5" ht="25" x14ac:dyDescent="0.35">
      <c r="B4" s="88" t="s">
        <v>167</v>
      </c>
      <c r="C4" s="89" t="s">
        <v>32</v>
      </c>
      <c r="D4" s="44"/>
      <c r="E4" s="3"/>
    </row>
    <row r="5" spans="2:5" x14ac:dyDescent="0.35">
      <c r="B5" s="56" t="s">
        <v>44</v>
      </c>
      <c r="C5" s="87">
        <v>5</v>
      </c>
    </row>
    <row r="6" spans="2:5" x14ac:dyDescent="0.35">
      <c r="B6" s="57" t="s">
        <v>35</v>
      </c>
      <c r="C6" s="9">
        <v>25</v>
      </c>
    </row>
    <row r="7" spans="2:5" x14ac:dyDescent="0.35">
      <c r="B7" s="57" t="s">
        <v>36</v>
      </c>
      <c r="C7" s="9">
        <v>35</v>
      </c>
    </row>
    <row r="8" spans="2:5" x14ac:dyDescent="0.35">
      <c r="B8" s="57" t="s">
        <v>37</v>
      </c>
      <c r="C8" s="9">
        <v>26</v>
      </c>
    </row>
    <row r="9" spans="2:5" x14ac:dyDescent="0.35">
      <c r="B9" s="58" t="s">
        <v>38</v>
      </c>
      <c r="C9" s="7">
        <v>9</v>
      </c>
    </row>
    <row r="10" spans="2:5" x14ac:dyDescent="0.35">
      <c r="B10" s="71"/>
      <c r="C10" s="68"/>
    </row>
    <row r="11" spans="2:5" x14ac:dyDescent="0.35">
      <c r="B11" s="2" t="s">
        <v>191</v>
      </c>
    </row>
    <row r="12" spans="2:5" x14ac:dyDescent="0.35">
      <c r="B12" s="81" t="s">
        <v>192</v>
      </c>
      <c r="C12" s="81"/>
    </row>
    <row r="13" spans="2:5" x14ac:dyDescent="0.35">
      <c r="B13" s="2" t="s">
        <v>58</v>
      </c>
    </row>
    <row r="14" spans="2:5" x14ac:dyDescent="0.35">
      <c r="B14" s="2" t="s">
        <v>59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4"/>
  <sheetViews>
    <sheetView tabSelected="1" zoomScaleNormal="100" workbookViewId="0">
      <selection activeCell="F8" sqref="F8"/>
    </sheetView>
  </sheetViews>
  <sheetFormatPr baseColWidth="10" defaultColWidth="10.81640625" defaultRowHeight="12.5" x14ac:dyDescent="0.35"/>
  <cols>
    <col min="1" max="1" width="3.26953125" style="2" customWidth="1"/>
    <col min="2" max="2" width="34.81640625" style="2" customWidth="1"/>
    <col min="3" max="3" width="51.26953125" style="2" customWidth="1"/>
    <col min="4" max="5" width="10.81640625" style="2"/>
    <col min="6" max="6" width="16.54296875" style="2" customWidth="1"/>
    <col min="7" max="8" width="10.81640625" style="2"/>
    <col min="9" max="9" width="30" style="2" bestFit="1" customWidth="1"/>
    <col min="10" max="16384" width="10.81640625" style="2"/>
  </cols>
  <sheetData>
    <row r="2" spans="2:10" x14ac:dyDescent="0.35">
      <c r="B2" s="77" t="s">
        <v>105</v>
      </c>
    </row>
    <row r="3" spans="2:10" x14ac:dyDescent="0.35">
      <c r="D3" s="70" t="s">
        <v>32</v>
      </c>
    </row>
    <row r="4" spans="2:10" x14ac:dyDescent="0.35">
      <c r="B4" s="118" t="s">
        <v>0</v>
      </c>
      <c r="C4" s="4" t="s">
        <v>86</v>
      </c>
      <c r="D4" s="5">
        <v>90</v>
      </c>
    </row>
    <row r="5" spans="2:10" x14ac:dyDescent="0.35">
      <c r="B5" s="120"/>
      <c r="C5" s="6" t="s">
        <v>85</v>
      </c>
      <c r="D5" s="7">
        <v>10</v>
      </c>
    </row>
    <row r="6" spans="2:10" ht="13.5" x14ac:dyDescent="0.35">
      <c r="B6" s="118" t="s">
        <v>78</v>
      </c>
      <c r="C6" s="4" t="s">
        <v>60</v>
      </c>
      <c r="D6" s="5">
        <v>55</v>
      </c>
    </row>
    <row r="7" spans="2:10" ht="13.5" x14ac:dyDescent="0.35">
      <c r="B7" s="119"/>
      <c r="C7" s="8" t="s">
        <v>62</v>
      </c>
      <c r="D7" s="9">
        <v>49</v>
      </c>
    </row>
    <row r="8" spans="2:10" ht="13.5" x14ac:dyDescent="0.35">
      <c r="B8" s="120"/>
      <c r="C8" s="6" t="s">
        <v>61</v>
      </c>
      <c r="D8" s="7">
        <v>60</v>
      </c>
    </row>
    <row r="9" spans="2:10" x14ac:dyDescent="0.35">
      <c r="B9" s="118" t="s">
        <v>3</v>
      </c>
      <c r="C9" s="4" t="s">
        <v>1</v>
      </c>
      <c r="D9" s="5">
        <v>88</v>
      </c>
    </row>
    <row r="10" spans="2:10" ht="17.5" x14ac:dyDescent="0.5">
      <c r="B10" s="120"/>
      <c r="C10" s="6" t="s">
        <v>2</v>
      </c>
      <c r="D10" s="7">
        <v>12</v>
      </c>
      <c r="H10" s="80"/>
      <c r="I10" s="81"/>
      <c r="J10" s="81"/>
    </row>
    <row r="11" spans="2:10" x14ac:dyDescent="0.35">
      <c r="B11" s="118" t="s">
        <v>79</v>
      </c>
      <c r="C11" s="4" t="s">
        <v>6</v>
      </c>
      <c r="D11" s="5">
        <v>87</v>
      </c>
      <c r="H11" s="81"/>
      <c r="I11" s="81"/>
    </row>
    <row r="12" spans="2:10" ht="17.5" x14ac:dyDescent="0.5">
      <c r="B12" s="119"/>
      <c r="C12" s="8" t="s">
        <v>7</v>
      </c>
      <c r="D12" s="9">
        <v>0.5</v>
      </c>
      <c r="H12" s="80"/>
      <c r="I12" s="81"/>
    </row>
    <row r="13" spans="2:10" x14ac:dyDescent="0.35">
      <c r="B13" s="120"/>
      <c r="C13" s="6" t="s">
        <v>5</v>
      </c>
      <c r="D13" s="7">
        <v>12.5</v>
      </c>
    </row>
    <row r="14" spans="2:10" ht="17.5" x14ac:dyDescent="0.5">
      <c r="B14" s="118" t="s">
        <v>8</v>
      </c>
      <c r="C14" s="4" t="s">
        <v>82</v>
      </c>
      <c r="D14" s="5">
        <v>79</v>
      </c>
      <c r="H14" s="80"/>
    </row>
    <row r="15" spans="2:10" x14ac:dyDescent="0.35">
      <c r="B15" s="119"/>
      <c r="C15" s="8" t="s">
        <v>83</v>
      </c>
      <c r="D15" s="9">
        <v>8</v>
      </c>
    </row>
    <row r="16" spans="2:10" x14ac:dyDescent="0.35">
      <c r="B16" s="119"/>
      <c r="C16" s="79" t="s">
        <v>107</v>
      </c>
      <c r="D16" s="9">
        <v>3</v>
      </c>
    </row>
    <row r="17" spans="2:4" x14ac:dyDescent="0.35">
      <c r="B17" s="120"/>
      <c r="C17" s="6" t="s">
        <v>84</v>
      </c>
      <c r="D17" s="7">
        <v>10</v>
      </c>
    </row>
    <row r="18" spans="2:4" x14ac:dyDescent="0.35">
      <c r="B18" s="66"/>
      <c r="C18" s="67"/>
      <c r="D18" s="68"/>
    </row>
    <row r="19" spans="2:4" x14ac:dyDescent="0.35">
      <c r="B19" s="2" t="s">
        <v>181</v>
      </c>
    </row>
    <row r="20" spans="2:4" x14ac:dyDescent="0.35">
      <c r="B20" s="78" t="s">
        <v>106</v>
      </c>
    </row>
    <row r="21" spans="2:4" x14ac:dyDescent="0.35">
      <c r="B21" s="78" t="s">
        <v>197</v>
      </c>
    </row>
    <row r="22" spans="2:4" x14ac:dyDescent="0.35">
      <c r="B22" s="78" t="s">
        <v>182</v>
      </c>
    </row>
    <row r="23" spans="2:4" x14ac:dyDescent="0.35">
      <c r="B23" s="2" t="s">
        <v>58</v>
      </c>
    </row>
    <row r="24" spans="2:4" x14ac:dyDescent="0.35">
      <c r="B24" s="2" t="s">
        <v>59</v>
      </c>
    </row>
  </sheetData>
  <mergeCells count="5">
    <mergeCell ref="B14:B17"/>
    <mergeCell ref="B4:B5"/>
    <mergeCell ref="B6:B8"/>
    <mergeCell ref="B9:B10"/>
    <mergeCell ref="B11:B1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E26"/>
  <sheetViews>
    <sheetView zoomScaleNormal="100" workbookViewId="0"/>
  </sheetViews>
  <sheetFormatPr baseColWidth="10" defaultColWidth="10.81640625" defaultRowHeight="12.5" x14ac:dyDescent="0.35"/>
  <cols>
    <col min="1" max="1" width="3.1796875" style="2" customWidth="1"/>
    <col min="2" max="2" width="25.1796875" style="2" customWidth="1"/>
    <col min="3" max="3" width="69.54296875" style="2" customWidth="1"/>
    <col min="4" max="4" width="40.453125" style="2" customWidth="1"/>
    <col min="5" max="5" width="10.1796875" style="2" customWidth="1"/>
    <col min="6" max="16384" width="10.81640625" style="2"/>
  </cols>
  <sheetData>
    <row r="2" spans="2:5" x14ac:dyDescent="0.35">
      <c r="B2" s="77" t="s">
        <v>118</v>
      </c>
      <c r="D2" s="43"/>
    </row>
    <row r="3" spans="2:5" x14ac:dyDescent="0.35">
      <c r="B3" s="93"/>
      <c r="C3" s="25"/>
      <c r="D3" s="44"/>
      <c r="E3" s="70" t="s">
        <v>32</v>
      </c>
    </row>
    <row r="4" spans="2:5" x14ac:dyDescent="0.35">
      <c r="B4" s="127" t="s">
        <v>116</v>
      </c>
      <c r="C4" s="130" t="s">
        <v>104</v>
      </c>
      <c r="D4" s="45" t="s">
        <v>4</v>
      </c>
      <c r="E4" s="11">
        <v>12</v>
      </c>
    </row>
    <row r="5" spans="2:5" x14ac:dyDescent="0.35">
      <c r="B5" s="127"/>
      <c r="C5" s="131"/>
      <c r="D5" s="46" t="s">
        <v>5</v>
      </c>
      <c r="E5" s="13">
        <v>88</v>
      </c>
    </row>
    <row r="6" spans="2:5" x14ac:dyDescent="0.35">
      <c r="B6" s="127"/>
      <c r="C6" s="130" t="s">
        <v>198</v>
      </c>
      <c r="D6" s="33" t="s">
        <v>199</v>
      </c>
      <c r="E6" s="11">
        <v>90</v>
      </c>
    </row>
    <row r="7" spans="2:5" ht="30.65" customHeight="1" x14ac:dyDescent="0.35">
      <c r="B7" s="127"/>
      <c r="C7" s="132"/>
      <c r="D7" s="110" t="s">
        <v>200</v>
      </c>
      <c r="E7" s="13">
        <v>5</v>
      </c>
    </row>
    <row r="8" spans="2:5" ht="15.75" customHeight="1" x14ac:dyDescent="0.35">
      <c r="B8" s="127"/>
      <c r="C8" s="132"/>
      <c r="D8" s="47" t="s">
        <v>201</v>
      </c>
      <c r="E8" s="13">
        <v>4</v>
      </c>
    </row>
    <row r="9" spans="2:5" x14ac:dyDescent="0.35">
      <c r="B9" s="127"/>
      <c r="C9" s="131"/>
      <c r="D9" s="42" t="s">
        <v>33</v>
      </c>
      <c r="E9" s="15">
        <v>1</v>
      </c>
    </row>
    <row r="10" spans="2:5" x14ac:dyDescent="0.35">
      <c r="B10" s="127"/>
      <c r="C10" s="133" t="s">
        <v>39</v>
      </c>
      <c r="D10" s="48" t="s">
        <v>4</v>
      </c>
      <c r="E10" s="36">
        <v>11</v>
      </c>
    </row>
    <row r="11" spans="2:5" x14ac:dyDescent="0.35">
      <c r="B11" s="127"/>
      <c r="C11" s="134"/>
      <c r="D11" s="49" t="s">
        <v>5</v>
      </c>
      <c r="E11" s="38">
        <v>89</v>
      </c>
    </row>
    <row r="12" spans="2:5" x14ac:dyDescent="0.35">
      <c r="B12" s="127"/>
      <c r="C12" s="133" t="s">
        <v>40</v>
      </c>
      <c r="D12" s="48" t="s">
        <v>4</v>
      </c>
      <c r="E12" s="11">
        <v>12</v>
      </c>
    </row>
    <row r="13" spans="2:5" x14ac:dyDescent="0.35">
      <c r="B13" s="128"/>
      <c r="C13" s="134"/>
      <c r="D13" s="49" t="s">
        <v>5</v>
      </c>
      <c r="E13" s="15">
        <v>88</v>
      </c>
    </row>
    <row r="14" spans="2:5" x14ac:dyDescent="0.35">
      <c r="B14" s="129" t="s">
        <v>117</v>
      </c>
      <c r="C14" s="133" t="s">
        <v>41</v>
      </c>
      <c r="D14" s="48" t="s">
        <v>4</v>
      </c>
      <c r="E14" s="36">
        <v>28</v>
      </c>
    </row>
    <row r="15" spans="2:5" x14ac:dyDescent="0.35">
      <c r="B15" s="127"/>
      <c r="C15" s="134"/>
      <c r="D15" s="49" t="s">
        <v>5</v>
      </c>
      <c r="E15" s="38">
        <v>72</v>
      </c>
    </row>
    <row r="16" spans="2:5" x14ac:dyDescent="0.35">
      <c r="B16" s="127"/>
      <c r="C16" s="133" t="s">
        <v>180</v>
      </c>
      <c r="D16" s="48" t="s">
        <v>4</v>
      </c>
      <c r="E16" s="5">
        <v>36</v>
      </c>
    </row>
    <row r="17" spans="2:5" x14ac:dyDescent="0.35">
      <c r="B17" s="127"/>
      <c r="C17" s="134"/>
      <c r="D17" s="49" t="s">
        <v>5</v>
      </c>
      <c r="E17" s="7">
        <v>64</v>
      </c>
    </row>
    <row r="18" spans="2:5" x14ac:dyDescent="0.35">
      <c r="B18" s="127"/>
      <c r="C18" s="133" t="s">
        <v>183</v>
      </c>
      <c r="D18" s="48" t="s">
        <v>4</v>
      </c>
      <c r="E18" s="5">
        <v>35</v>
      </c>
    </row>
    <row r="19" spans="2:5" x14ac:dyDescent="0.35">
      <c r="B19" s="128"/>
      <c r="C19" s="134"/>
      <c r="D19" s="49" t="s">
        <v>5</v>
      </c>
      <c r="E19" s="7">
        <v>65</v>
      </c>
    </row>
    <row r="20" spans="2:5" x14ac:dyDescent="0.35">
      <c r="B20" s="124" t="s">
        <v>55</v>
      </c>
      <c r="C20" s="121" t="s">
        <v>108</v>
      </c>
      <c r="D20" s="10" t="s">
        <v>4</v>
      </c>
      <c r="E20" s="50">
        <v>83</v>
      </c>
    </row>
    <row r="21" spans="2:5" x14ac:dyDescent="0.35">
      <c r="B21" s="125"/>
      <c r="C21" s="122"/>
      <c r="D21" s="12" t="s">
        <v>5</v>
      </c>
      <c r="E21" s="51">
        <v>10</v>
      </c>
    </row>
    <row r="22" spans="2:5" x14ac:dyDescent="0.35">
      <c r="B22" s="126"/>
      <c r="C22" s="123"/>
      <c r="D22" s="14" t="s">
        <v>33</v>
      </c>
      <c r="E22" s="52">
        <v>7</v>
      </c>
    </row>
    <row r="24" spans="2:5" x14ac:dyDescent="0.35">
      <c r="B24" s="2" t="s">
        <v>119</v>
      </c>
    </row>
    <row r="25" spans="2:5" x14ac:dyDescent="0.35">
      <c r="B25" s="2" t="s">
        <v>58</v>
      </c>
    </row>
    <row r="26" spans="2:5" x14ac:dyDescent="0.35">
      <c r="B26" s="2" t="s">
        <v>64</v>
      </c>
    </row>
  </sheetData>
  <mergeCells count="11">
    <mergeCell ref="C20:C22"/>
    <mergeCell ref="B20:B22"/>
    <mergeCell ref="B4:B13"/>
    <mergeCell ref="B14:B19"/>
    <mergeCell ref="C4:C5"/>
    <mergeCell ref="C6:C9"/>
    <mergeCell ref="C10:C11"/>
    <mergeCell ref="C12:C13"/>
    <mergeCell ref="C14:C15"/>
    <mergeCell ref="C16:C17"/>
    <mergeCell ref="C18:C1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D21"/>
  <sheetViews>
    <sheetView zoomScaleNormal="100" workbookViewId="0"/>
  </sheetViews>
  <sheetFormatPr baseColWidth="10" defaultColWidth="10.81640625" defaultRowHeight="12.5" x14ac:dyDescent="0.35"/>
  <cols>
    <col min="1" max="1" width="3.453125" style="2" customWidth="1"/>
    <col min="2" max="2" width="79.81640625" style="2" bestFit="1" customWidth="1"/>
    <col min="3" max="3" width="27.7265625" style="2" customWidth="1"/>
    <col min="4" max="16384" width="10.81640625" style="2"/>
  </cols>
  <sheetData>
    <row r="2" spans="2:4" x14ac:dyDescent="0.35">
      <c r="B2" s="77" t="s">
        <v>115</v>
      </c>
    </row>
    <row r="3" spans="2:4" x14ac:dyDescent="0.35">
      <c r="B3" s="43"/>
      <c r="D3" s="70" t="s">
        <v>32</v>
      </c>
    </row>
    <row r="4" spans="2:4" x14ac:dyDescent="0.35">
      <c r="B4" s="124" t="s">
        <v>81</v>
      </c>
      <c r="C4" s="10" t="s">
        <v>184</v>
      </c>
      <c r="D4" s="59">
        <v>81</v>
      </c>
    </row>
    <row r="5" spans="2:4" x14ac:dyDescent="0.35">
      <c r="B5" s="125"/>
      <c r="C5" s="12" t="s">
        <v>45</v>
      </c>
      <c r="D5" s="60">
        <v>12</v>
      </c>
    </row>
    <row r="6" spans="2:4" x14ac:dyDescent="0.35">
      <c r="B6" s="126"/>
      <c r="C6" s="14" t="s">
        <v>5</v>
      </c>
      <c r="D6" s="61">
        <v>7</v>
      </c>
    </row>
    <row r="7" spans="2:4" x14ac:dyDescent="0.35">
      <c r="B7" s="124" t="s">
        <v>186</v>
      </c>
      <c r="C7" s="62" t="s">
        <v>9</v>
      </c>
      <c r="D7" s="63">
        <v>67</v>
      </c>
    </row>
    <row r="8" spans="2:4" x14ac:dyDescent="0.35">
      <c r="B8" s="125"/>
      <c r="C8" s="47" t="s">
        <v>5</v>
      </c>
      <c r="D8" s="64">
        <v>33</v>
      </c>
    </row>
    <row r="9" spans="2:4" x14ac:dyDescent="0.35">
      <c r="B9" s="135" t="s">
        <v>202</v>
      </c>
      <c r="C9" s="112" t="s">
        <v>51</v>
      </c>
      <c r="D9" s="111">
        <v>23</v>
      </c>
    </row>
    <row r="10" spans="2:4" x14ac:dyDescent="0.35">
      <c r="B10" s="137"/>
      <c r="C10" s="47" t="s">
        <v>52</v>
      </c>
      <c r="D10" s="57">
        <v>18</v>
      </c>
    </row>
    <row r="11" spans="2:4" x14ac:dyDescent="0.35">
      <c r="B11" s="137"/>
      <c r="C11" s="71" t="s">
        <v>53</v>
      </c>
      <c r="D11" s="57">
        <v>59</v>
      </c>
    </row>
    <row r="12" spans="2:4" x14ac:dyDescent="0.35">
      <c r="B12" s="135" t="s">
        <v>203</v>
      </c>
      <c r="C12" s="111" t="s">
        <v>9</v>
      </c>
      <c r="D12" s="111">
        <v>54</v>
      </c>
    </row>
    <row r="13" spans="2:4" x14ac:dyDescent="0.35">
      <c r="B13" s="136"/>
      <c r="C13" s="71" t="s">
        <v>5</v>
      </c>
      <c r="D13" s="113">
        <v>46</v>
      </c>
    </row>
    <row r="14" spans="2:4" x14ac:dyDescent="0.35">
      <c r="B14" s="137" t="s">
        <v>187</v>
      </c>
      <c r="C14" s="111" t="s">
        <v>9</v>
      </c>
      <c r="D14" s="57">
        <v>54</v>
      </c>
    </row>
    <row r="15" spans="2:4" x14ac:dyDescent="0.35">
      <c r="B15" s="138"/>
      <c r="C15" s="25" t="s">
        <v>5</v>
      </c>
      <c r="D15" s="58">
        <v>46</v>
      </c>
    </row>
    <row r="17" spans="2:3" x14ac:dyDescent="0.35">
      <c r="B17" s="2" t="s">
        <v>185</v>
      </c>
      <c r="C17" s="92"/>
    </row>
    <row r="18" spans="2:3" x14ac:dyDescent="0.35">
      <c r="B18" s="2" t="s">
        <v>90</v>
      </c>
    </row>
    <row r="19" spans="2:3" x14ac:dyDescent="0.35">
      <c r="B19" s="2" t="s">
        <v>91</v>
      </c>
    </row>
    <row r="20" spans="2:3" x14ac:dyDescent="0.35">
      <c r="B20" s="2" t="s">
        <v>64</v>
      </c>
    </row>
    <row r="21" spans="2:3" ht="43.5" customHeight="1" x14ac:dyDescent="0.35"/>
  </sheetData>
  <mergeCells count="5">
    <mergeCell ref="B4:B6"/>
    <mergeCell ref="B12:B13"/>
    <mergeCell ref="B14:B15"/>
    <mergeCell ref="B7:B8"/>
    <mergeCell ref="B9:B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5"/>
  <sheetViews>
    <sheetView zoomScaleNormal="100" workbookViewId="0"/>
  </sheetViews>
  <sheetFormatPr baseColWidth="10" defaultColWidth="10.81640625" defaultRowHeight="12.5" x14ac:dyDescent="0.35"/>
  <cols>
    <col min="1" max="1" width="3.1796875" style="2" customWidth="1"/>
    <col min="2" max="2" width="37.1796875" style="2" customWidth="1"/>
    <col min="3" max="3" width="72.453125" style="2" customWidth="1"/>
    <col min="4" max="4" width="37.26953125" style="2" customWidth="1"/>
    <col min="5" max="5" width="62.453125" style="2" bestFit="1" customWidth="1"/>
    <col min="6" max="16384" width="10.81640625" style="2"/>
  </cols>
  <sheetData>
    <row r="2" spans="2:5" x14ac:dyDescent="0.35">
      <c r="B2" s="77" t="s">
        <v>179</v>
      </c>
      <c r="C2" s="1"/>
    </row>
    <row r="3" spans="2:5" x14ac:dyDescent="0.35">
      <c r="D3" s="70" t="s">
        <v>32</v>
      </c>
      <c r="E3" s="72"/>
    </row>
    <row r="4" spans="2:5" ht="19.5" customHeight="1" x14ac:dyDescent="0.35">
      <c r="B4" s="118" t="s">
        <v>34</v>
      </c>
      <c r="C4" s="10" t="s">
        <v>10</v>
      </c>
      <c r="D4" s="11">
        <v>10</v>
      </c>
    </row>
    <row r="5" spans="2:5" x14ac:dyDescent="0.35">
      <c r="B5" s="119"/>
      <c r="C5" s="12" t="s">
        <v>11</v>
      </c>
      <c r="D5" s="13">
        <v>11</v>
      </c>
    </row>
    <row r="6" spans="2:5" x14ac:dyDescent="0.35">
      <c r="B6" s="119"/>
      <c r="C6" s="12" t="s">
        <v>12</v>
      </c>
      <c r="D6" s="13">
        <v>42</v>
      </c>
    </row>
    <row r="7" spans="2:5" x14ac:dyDescent="0.35">
      <c r="B7" s="119"/>
      <c r="C7" s="12" t="s">
        <v>13</v>
      </c>
      <c r="D7" s="13">
        <v>22</v>
      </c>
    </row>
    <row r="8" spans="2:5" ht="13.5" x14ac:dyDescent="0.35">
      <c r="B8" s="119"/>
      <c r="C8" s="12" t="s">
        <v>87</v>
      </c>
      <c r="D8" s="13">
        <v>10</v>
      </c>
    </row>
    <row r="9" spans="2:5" ht="13.5" x14ac:dyDescent="0.35">
      <c r="B9" s="119"/>
      <c r="C9" s="12" t="s">
        <v>88</v>
      </c>
      <c r="D9" s="13">
        <v>3</v>
      </c>
    </row>
    <row r="10" spans="2:5" ht="13.5" x14ac:dyDescent="0.35">
      <c r="B10" s="120"/>
      <c r="C10" s="14" t="s">
        <v>89</v>
      </c>
      <c r="D10" s="15">
        <v>2</v>
      </c>
    </row>
    <row r="11" spans="2:5" x14ac:dyDescent="0.35">
      <c r="B11" s="129" t="s">
        <v>66</v>
      </c>
      <c r="C11" s="10" t="s">
        <v>9</v>
      </c>
      <c r="D11" s="16">
        <v>62</v>
      </c>
    </row>
    <row r="12" spans="2:5" x14ac:dyDescent="0.35">
      <c r="B12" s="127"/>
      <c r="C12" s="17" t="s">
        <v>100</v>
      </c>
      <c r="D12" s="18">
        <v>91</v>
      </c>
    </row>
    <row r="13" spans="2:5" x14ac:dyDescent="0.35">
      <c r="B13" s="128"/>
      <c r="C13" s="14" t="s">
        <v>5</v>
      </c>
      <c r="D13" s="19">
        <v>38</v>
      </c>
      <c r="E13" s="20"/>
    </row>
    <row r="14" spans="2:5" x14ac:dyDescent="0.35">
      <c r="B14" s="139" t="s">
        <v>120</v>
      </c>
      <c r="C14" s="21" t="s">
        <v>9</v>
      </c>
      <c r="D14" s="11">
        <v>67</v>
      </c>
      <c r="E14" s="20"/>
    </row>
    <row r="15" spans="2:5" x14ac:dyDescent="0.35">
      <c r="B15" s="140"/>
      <c r="C15" s="22" t="s">
        <v>14</v>
      </c>
      <c r="D15" s="23">
        <v>20</v>
      </c>
      <c r="E15" s="20"/>
    </row>
    <row r="16" spans="2:5" x14ac:dyDescent="0.35">
      <c r="B16" s="140"/>
      <c r="C16" s="22" t="s">
        <v>193</v>
      </c>
      <c r="D16" s="24">
        <v>40</v>
      </c>
      <c r="E16" s="20"/>
    </row>
    <row r="17" spans="2:5" x14ac:dyDescent="0.35">
      <c r="B17" s="140"/>
      <c r="C17" s="22" t="s">
        <v>15</v>
      </c>
      <c r="D17" s="24">
        <v>14</v>
      </c>
      <c r="E17" s="20"/>
    </row>
    <row r="18" spans="2:5" x14ac:dyDescent="0.35">
      <c r="B18" s="140"/>
      <c r="C18" s="22" t="s">
        <v>16</v>
      </c>
      <c r="D18" s="24">
        <v>6</v>
      </c>
      <c r="E18" s="20"/>
    </row>
    <row r="19" spans="2:5" x14ac:dyDescent="0.35">
      <c r="B19" s="140"/>
      <c r="C19" s="22" t="s">
        <v>17</v>
      </c>
      <c r="D19" s="24">
        <v>21</v>
      </c>
      <c r="E19" s="20"/>
    </row>
    <row r="20" spans="2:5" x14ac:dyDescent="0.35">
      <c r="B20" s="140"/>
      <c r="C20" s="22" t="s">
        <v>18</v>
      </c>
      <c r="D20" s="24">
        <v>15</v>
      </c>
      <c r="E20" s="20"/>
    </row>
    <row r="21" spans="2:5" x14ac:dyDescent="0.35">
      <c r="B21" s="141"/>
      <c r="C21" s="25" t="s">
        <v>5</v>
      </c>
      <c r="D21" s="15">
        <v>33</v>
      </c>
    </row>
    <row r="23" spans="2:5" x14ac:dyDescent="0.35">
      <c r="B23" s="2" t="s">
        <v>92</v>
      </c>
    </row>
    <row r="24" spans="2:5" x14ac:dyDescent="0.35">
      <c r="B24" s="2" t="s">
        <v>58</v>
      </c>
    </row>
    <row r="25" spans="2:5" x14ac:dyDescent="0.35">
      <c r="B25" s="2" t="s">
        <v>59</v>
      </c>
    </row>
  </sheetData>
  <mergeCells count="3">
    <mergeCell ref="B14:B21"/>
    <mergeCell ref="B11:B13"/>
    <mergeCell ref="B4:B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zoomScaleNormal="100" workbookViewId="0"/>
  </sheetViews>
  <sheetFormatPr baseColWidth="10" defaultColWidth="10.81640625" defaultRowHeight="12.5" x14ac:dyDescent="0.35"/>
  <cols>
    <col min="1" max="1" width="3.1796875" style="90" customWidth="1"/>
    <col min="2" max="2" width="97.81640625" style="90" customWidth="1"/>
    <col min="3" max="3" width="30.81640625" style="90" customWidth="1"/>
    <col min="4" max="4" width="16.81640625" style="90" customWidth="1"/>
    <col min="5" max="5" width="62.453125" style="90" bestFit="1" customWidth="1"/>
    <col min="6" max="16384" width="10.81640625" style="90"/>
  </cols>
  <sheetData>
    <row r="1" spans="2:4" x14ac:dyDescent="0.35">
      <c r="C1" s="81"/>
      <c r="D1" s="81"/>
    </row>
    <row r="2" spans="2:4" x14ac:dyDescent="0.35">
      <c r="B2" s="94" t="s">
        <v>195</v>
      </c>
      <c r="C2" s="95"/>
      <c r="D2" s="96"/>
    </row>
    <row r="3" spans="2:4" x14ac:dyDescent="0.35">
      <c r="B3" s="94"/>
      <c r="C3" s="95"/>
      <c r="D3" s="96" t="s">
        <v>32</v>
      </c>
    </row>
    <row r="4" spans="2:4" x14ac:dyDescent="0.35">
      <c r="B4" s="142" t="s">
        <v>175</v>
      </c>
      <c r="C4" s="99" t="s">
        <v>171</v>
      </c>
      <c r="D4" s="100">
        <v>20</v>
      </c>
    </row>
    <row r="5" spans="2:4" x14ac:dyDescent="0.35">
      <c r="B5" s="143"/>
      <c r="C5" s="99" t="s">
        <v>12</v>
      </c>
      <c r="D5" s="100">
        <v>23</v>
      </c>
    </row>
    <row r="6" spans="2:4" x14ac:dyDescent="0.35">
      <c r="B6" s="143"/>
      <c r="C6" s="99" t="s">
        <v>172</v>
      </c>
      <c r="D6" s="100">
        <v>17.5</v>
      </c>
    </row>
    <row r="7" spans="2:4" x14ac:dyDescent="0.35">
      <c r="B7" s="143"/>
      <c r="C7" s="101" t="s">
        <v>173</v>
      </c>
      <c r="D7" s="100">
        <v>16</v>
      </c>
    </row>
    <row r="8" spans="2:4" x14ac:dyDescent="0.35">
      <c r="B8" s="143"/>
      <c r="C8" s="99" t="s">
        <v>188</v>
      </c>
      <c r="D8" s="100">
        <v>22</v>
      </c>
    </row>
    <row r="9" spans="2:4" x14ac:dyDescent="0.35">
      <c r="B9" s="144"/>
      <c r="C9" s="97" t="s">
        <v>174</v>
      </c>
      <c r="D9" s="98">
        <v>1.5</v>
      </c>
    </row>
    <row r="10" spans="2:4" x14ac:dyDescent="0.35">
      <c r="B10" s="81"/>
      <c r="C10" s="81"/>
      <c r="D10" s="81"/>
    </row>
    <row r="11" spans="2:4" x14ac:dyDescent="0.35">
      <c r="B11" s="81" t="s">
        <v>196</v>
      </c>
      <c r="C11" s="81"/>
      <c r="D11" s="81"/>
    </row>
    <row r="12" spans="2:4" x14ac:dyDescent="0.35">
      <c r="B12" s="81" t="s">
        <v>189</v>
      </c>
      <c r="C12" s="81"/>
      <c r="D12" s="81"/>
    </row>
    <row r="13" spans="2:4" x14ac:dyDescent="0.35">
      <c r="B13" s="81" t="s">
        <v>190</v>
      </c>
      <c r="C13" s="81"/>
      <c r="D13" s="81"/>
    </row>
    <row r="14" spans="2:4" x14ac:dyDescent="0.35">
      <c r="B14" s="81"/>
    </row>
  </sheetData>
  <mergeCells count="1">
    <mergeCell ref="B4:B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2"/>
  <sheetViews>
    <sheetView topLeftCell="A13" zoomScale="89" zoomScaleNormal="89" workbookViewId="0">
      <selection activeCell="C42" sqref="C42"/>
    </sheetView>
  </sheetViews>
  <sheetFormatPr baseColWidth="10" defaultColWidth="10.81640625" defaultRowHeight="12.5" x14ac:dyDescent="0.35"/>
  <cols>
    <col min="1" max="1" width="3.54296875" style="2" customWidth="1"/>
    <col min="2" max="2" width="76.1796875" style="2" customWidth="1"/>
    <col min="3" max="3" width="89.453125" style="2" customWidth="1"/>
    <col min="4" max="4" width="18.1796875" style="2" customWidth="1"/>
    <col min="5" max="16384" width="10.81640625" style="2"/>
  </cols>
  <sheetData>
    <row r="2" spans="2:4" ht="14.15" customHeight="1" x14ac:dyDescent="0.35">
      <c r="B2" s="148" t="s">
        <v>178</v>
      </c>
      <c r="C2" s="149"/>
      <c r="D2" s="149"/>
    </row>
    <row r="3" spans="2:4" ht="11.15" customHeight="1" x14ac:dyDescent="0.35">
      <c r="B3" s="73"/>
      <c r="C3" s="74"/>
      <c r="D3" s="70" t="s">
        <v>32</v>
      </c>
    </row>
    <row r="4" spans="2:4" x14ac:dyDescent="0.35">
      <c r="B4" s="150" t="s">
        <v>67</v>
      </c>
      <c r="C4" s="26" t="s">
        <v>68</v>
      </c>
      <c r="D4" s="27">
        <v>78</v>
      </c>
    </row>
    <row r="5" spans="2:4" x14ac:dyDescent="0.35">
      <c r="B5" s="151"/>
      <c r="C5" s="28" t="s">
        <v>69</v>
      </c>
      <c r="D5" s="29">
        <v>62</v>
      </c>
    </row>
    <row r="6" spans="2:4" x14ac:dyDescent="0.35">
      <c r="B6" s="151"/>
      <c r="C6" s="28" t="s">
        <v>19</v>
      </c>
      <c r="D6" s="29">
        <v>47</v>
      </c>
    </row>
    <row r="7" spans="2:4" x14ac:dyDescent="0.35">
      <c r="B7" s="151"/>
      <c r="C7" s="28" t="s">
        <v>21</v>
      </c>
      <c r="D7" s="29">
        <v>39</v>
      </c>
    </row>
    <row r="8" spans="2:4" x14ac:dyDescent="0.35">
      <c r="B8" s="151"/>
      <c r="C8" s="28" t="s">
        <v>93</v>
      </c>
      <c r="D8" s="29">
        <v>35</v>
      </c>
    </row>
    <row r="9" spans="2:4" x14ac:dyDescent="0.35">
      <c r="B9" s="151"/>
      <c r="C9" s="28" t="s">
        <v>20</v>
      </c>
      <c r="D9" s="29">
        <v>19</v>
      </c>
    </row>
    <row r="10" spans="2:4" x14ac:dyDescent="0.35">
      <c r="B10" s="151"/>
      <c r="C10" s="28" t="s">
        <v>70</v>
      </c>
      <c r="D10" s="29">
        <v>6</v>
      </c>
    </row>
    <row r="11" spans="2:4" ht="25" x14ac:dyDescent="0.35">
      <c r="B11" s="151"/>
      <c r="C11" s="30" t="s">
        <v>71</v>
      </c>
      <c r="D11" s="29">
        <v>6</v>
      </c>
    </row>
    <row r="12" spans="2:4" x14ac:dyDescent="0.35">
      <c r="B12" s="151"/>
      <c r="C12" s="28" t="s">
        <v>23</v>
      </c>
      <c r="D12" s="29">
        <v>5</v>
      </c>
    </row>
    <row r="13" spans="2:4" x14ac:dyDescent="0.35">
      <c r="B13" s="151"/>
      <c r="C13" s="28" t="s">
        <v>22</v>
      </c>
      <c r="D13" s="29">
        <v>3</v>
      </c>
    </row>
    <row r="14" spans="2:4" x14ac:dyDescent="0.35">
      <c r="B14" s="152"/>
      <c r="C14" s="31" t="s">
        <v>24</v>
      </c>
      <c r="D14" s="32">
        <v>10</v>
      </c>
    </row>
    <row r="15" spans="2:4" x14ac:dyDescent="0.35">
      <c r="B15" s="153" t="s">
        <v>25</v>
      </c>
      <c r="C15" s="33" t="s">
        <v>94</v>
      </c>
      <c r="D15" s="27">
        <v>52</v>
      </c>
    </row>
    <row r="16" spans="2:4" x14ac:dyDescent="0.35">
      <c r="B16" s="154"/>
      <c r="C16" s="34" t="s">
        <v>26</v>
      </c>
      <c r="D16" s="29">
        <v>40</v>
      </c>
    </row>
    <row r="17" spans="2:4" x14ac:dyDescent="0.35">
      <c r="B17" s="154"/>
      <c r="C17" s="35" t="s">
        <v>27</v>
      </c>
      <c r="D17" s="29">
        <v>18</v>
      </c>
    </row>
    <row r="18" spans="2:4" x14ac:dyDescent="0.35">
      <c r="B18" s="154"/>
      <c r="C18" s="34" t="s">
        <v>28</v>
      </c>
      <c r="D18" s="29">
        <v>13</v>
      </c>
    </row>
    <row r="19" spans="2:4" x14ac:dyDescent="0.35">
      <c r="B19" s="154"/>
      <c r="C19" s="34" t="s">
        <v>72</v>
      </c>
      <c r="D19" s="29">
        <v>8</v>
      </c>
    </row>
    <row r="20" spans="2:4" x14ac:dyDescent="0.35">
      <c r="B20" s="154"/>
      <c r="C20" s="34" t="s">
        <v>73</v>
      </c>
      <c r="D20" s="29">
        <v>3</v>
      </c>
    </row>
    <row r="21" spans="2:4" x14ac:dyDescent="0.35">
      <c r="B21" s="154"/>
      <c r="C21" s="35" t="s">
        <v>29</v>
      </c>
      <c r="D21" s="29">
        <v>1</v>
      </c>
    </row>
    <row r="22" spans="2:4" x14ac:dyDescent="0.35">
      <c r="B22" s="155"/>
      <c r="C22" s="31" t="s">
        <v>24</v>
      </c>
      <c r="D22" s="32">
        <v>5</v>
      </c>
    </row>
    <row r="23" spans="2:4" x14ac:dyDescent="0.35">
      <c r="B23" s="139" t="s">
        <v>80</v>
      </c>
      <c r="C23" s="10" t="s">
        <v>4</v>
      </c>
      <c r="D23" s="11">
        <v>35</v>
      </c>
    </row>
    <row r="24" spans="2:4" x14ac:dyDescent="0.35">
      <c r="B24" s="141"/>
      <c r="C24" s="14" t="s">
        <v>5</v>
      </c>
      <c r="D24" s="7">
        <v>65</v>
      </c>
    </row>
    <row r="25" spans="2:4" x14ac:dyDescent="0.35">
      <c r="B25" s="153" t="s">
        <v>170</v>
      </c>
      <c r="C25" s="10" t="s">
        <v>95</v>
      </c>
      <c r="D25" s="36">
        <v>64</v>
      </c>
    </row>
    <row r="26" spans="2:4" x14ac:dyDescent="0.35">
      <c r="B26" s="154"/>
      <c r="C26" s="12" t="s">
        <v>30</v>
      </c>
      <c r="D26" s="37">
        <v>51</v>
      </c>
    </row>
    <row r="27" spans="2:4" x14ac:dyDescent="0.35">
      <c r="B27" s="154"/>
      <c r="C27" s="12" t="s">
        <v>31</v>
      </c>
      <c r="D27" s="37">
        <v>45</v>
      </c>
    </row>
    <row r="28" spans="2:4" x14ac:dyDescent="0.35">
      <c r="B28" s="154"/>
      <c r="C28" s="12" t="s">
        <v>96</v>
      </c>
      <c r="D28" s="37">
        <v>22</v>
      </c>
    </row>
    <row r="29" spans="2:4" x14ac:dyDescent="0.35">
      <c r="B29" s="154"/>
      <c r="C29" s="12" t="s">
        <v>97</v>
      </c>
      <c r="D29" s="37">
        <v>20</v>
      </c>
    </row>
    <row r="30" spans="2:4" x14ac:dyDescent="0.35">
      <c r="B30" s="154"/>
      <c r="C30" s="12" t="s">
        <v>98</v>
      </c>
      <c r="D30" s="37">
        <v>15</v>
      </c>
    </row>
    <row r="31" spans="2:4" x14ac:dyDescent="0.35">
      <c r="B31" s="155"/>
      <c r="C31" s="14" t="s">
        <v>24</v>
      </c>
      <c r="D31" s="38">
        <v>14</v>
      </c>
    </row>
    <row r="32" spans="2:4" x14ac:dyDescent="0.35">
      <c r="B32" s="145" t="s">
        <v>109</v>
      </c>
      <c r="C32" s="4" t="s">
        <v>4</v>
      </c>
      <c r="D32" s="5">
        <v>15</v>
      </c>
    </row>
    <row r="33" spans="2:6" x14ac:dyDescent="0.35">
      <c r="B33" s="146"/>
      <c r="C33" s="39" t="s">
        <v>99</v>
      </c>
      <c r="D33" s="40">
        <v>82</v>
      </c>
    </row>
    <row r="34" spans="2:6" x14ac:dyDescent="0.35">
      <c r="B34" s="147"/>
      <c r="C34" s="6" t="s">
        <v>5</v>
      </c>
      <c r="D34" s="7">
        <v>85</v>
      </c>
    </row>
    <row r="36" spans="2:6" ht="17.5" x14ac:dyDescent="0.5">
      <c r="B36" s="2" t="s">
        <v>194</v>
      </c>
      <c r="F36" s="80"/>
    </row>
    <row r="37" spans="2:6" ht="17.5" x14ac:dyDescent="0.5">
      <c r="B37" s="2" t="s">
        <v>58</v>
      </c>
      <c r="F37" s="80"/>
    </row>
    <row r="38" spans="2:6" ht="17.5" x14ac:dyDescent="0.5">
      <c r="B38" s="2" t="s">
        <v>64</v>
      </c>
      <c r="F38" s="80"/>
    </row>
    <row r="39" spans="2:6" x14ac:dyDescent="0.35">
      <c r="C39" s="41"/>
      <c r="D39" s="42"/>
    </row>
    <row r="40" spans="2:6" x14ac:dyDescent="0.35">
      <c r="C40" s="41"/>
      <c r="D40" s="42"/>
    </row>
    <row r="41" spans="2:6" x14ac:dyDescent="0.35">
      <c r="C41" s="41"/>
      <c r="D41" s="42"/>
    </row>
    <row r="42" spans="2:6" x14ac:dyDescent="0.35">
      <c r="C42" s="41"/>
      <c r="D42" s="42"/>
    </row>
  </sheetData>
  <mergeCells count="6">
    <mergeCell ref="B32:B34"/>
    <mergeCell ref="B2:D2"/>
    <mergeCell ref="B4:B14"/>
    <mergeCell ref="B15:B22"/>
    <mergeCell ref="B23:B24"/>
    <mergeCell ref="B25:B3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3"/>
  <sheetViews>
    <sheetView zoomScale="87" zoomScaleNormal="87" workbookViewId="0">
      <selection activeCell="B2" sqref="B2"/>
    </sheetView>
  </sheetViews>
  <sheetFormatPr baseColWidth="10" defaultColWidth="10.81640625" defaultRowHeight="12.5" x14ac:dyDescent="0.35"/>
  <cols>
    <col min="1" max="1" width="4.453125" style="2" customWidth="1"/>
    <col min="2" max="2" width="93.453125" style="2" bestFit="1" customWidth="1"/>
    <col min="3" max="3" width="78.54296875" style="2" bestFit="1" customWidth="1"/>
    <col min="4" max="16384" width="10.81640625" style="2"/>
  </cols>
  <sheetData>
    <row r="2" spans="2:4" x14ac:dyDescent="0.35">
      <c r="B2" s="77" t="s">
        <v>176</v>
      </c>
    </row>
    <row r="3" spans="2:4" x14ac:dyDescent="0.35">
      <c r="D3" s="70" t="s">
        <v>32</v>
      </c>
    </row>
    <row r="4" spans="2:4" x14ac:dyDescent="0.35">
      <c r="B4" s="145" t="s">
        <v>74</v>
      </c>
      <c r="C4" s="26" t="s">
        <v>9</v>
      </c>
      <c r="D4" s="53">
        <v>7</v>
      </c>
    </row>
    <row r="5" spans="2:4" x14ac:dyDescent="0.35">
      <c r="B5" s="147"/>
      <c r="C5" s="31" t="s">
        <v>5</v>
      </c>
      <c r="D5" s="32">
        <v>93</v>
      </c>
    </row>
    <row r="6" spans="2:4" x14ac:dyDescent="0.35">
      <c r="B6" s="145" t="s">
        <v>75</v>
      </c>
      <c r="C6" s="26" t="s">
        <v>9</v>
      </c>
      <c r="D6" s="50">
        <v>6</v>
      </c>
    </row>
    <row r="7" spans="2:4" ht="18" customHeight="1" x14ac:dyDescent="0.35">
      <c r="B7" s="147"/>
      <c r="C7" s="31" t="s">
        <v>5</v>
      </c>
      <c r="D7" s="52">
        <v>94</v>
      </c>
    </row>
    <row r="8" spans="2:4" x14ac:dyDescent="0.35">
      <c r="B8" s="145" t="s">
        <v>76</v>
      </c>
      <c r="C8" s="10" t="s">
        <v>4</v>
      </c>
      <c r="D8" s="54">
        <v>3</v>
      </c>
    </row>
    <row r="9" spans="2:4" x14ac:dyDescent="0.35">
      <c r="B9" s="147"/>
      <c r="C9" s="14" t="s">
        <v>5</v>
      </c>
      <c r="D9" s="55">
        <v>97</v>
      </c>
    </row>
    <row r="10" spans="2:4" x14ac:dyDescent="0.35">
      <c r="B10" s="145" t="s">
        <v>77</v>
      </c>
      <c r="C10" s="10" t="s">
        <v>46</v>
      </c>
      <c r="D10" s="50">
        <v>47</v>
      </c>
    </row>
    <row r="11" spans="2:4" x14ac:dyDescent="0.35">
      <c r="B11" s="146"/>
      <c r="C11" s="12" t="s">
        <v>49</v>
      </c>
      <c r="D11" s="51">
        <v>27</v>
      </c>
    </row>
    <row r="12" spans="2:4" x14ac:dyDescent="0.35">
      <c r="B12" s="146"/>
      <c r="C12" s="12" t="s">
        <v>102</v>
      </c>
      <c r="D12" s="51">
        <v>14</v>
      </c>
    </row>
    <row r="13" spans="2:4" x14ac:dyDescent="0.35">
      <c r="B13" s="146"/>
      <c r="C13" s="12" t="s">
        <v>47</v>
      </c>
      <c r="D13" s="51">
        <v>8</v>
      </c>
    </row>
    <row r="14" spans="2:4" x14ac:dyDescent="0.35">
      <c r="B14" s="146"/>
      <c r="C14" s="12" t="s">
        <v>48</v>
      </c>
      <c r="D14" s="51">
        <v>8</v>
      </c>
    </row>
    <row r="15" spans="2:4" x14ac:dyDescent="0.35">
      <c r="B15" s="146"/>
      <c r="C15" s="12" t="s">
        <v>50</v>
      </c>
      <c r="D15" s="51">
        <v>3</v>
      </c>
    </row>
    <row r="16" spans="2:4" x14ac:dyDescent="0.35">
      <c r="B16" s="147"/>
      <c r="C16" s="14" t="s">
        <v>24</v>
      </c>
      <c r="D16" s="52">
        <v>31</v>
      </c>
    </row>
    <row r="17" spans="2:4" x14ac:dyDescent="0.35">
      <c r="B17" s="145" t="s">
        <v>110</v>
      </c>
      <c r="C17" s="10" t="s">
        <v>101</v>
      </c>
      <c r="D17" s="50">
        <v>20</v>
      </c>
    </row>
    <row r="18" spans="2:4" x14ac:dyDescent="0.35">
      <c r="B18" s="146"/>
      <c r="C18" s="12" t="s">
        <v>54</v>
      </c>
      <c r="D18" s="51">
        <v>10</v>
      </c>
    </row>
    <row r="19" spans="2:4" x14ac:dyDescent="0.35">
      <c r="B19" s="147"/>
      <c r="C19" s="14" t="s">
        <v>112</v>
      </c>
      <c r="D19" s="52">
        <v>70</v>
      </c>
    </row>
    <row r="21" spans="2:4" x14ac:dyDescent="0.35">
      <c r="B21" s="81" t="s">
        <v>111</v>
      </c>
    </row>
    <row r="22" spans="2:4" x14ac:dyDescent="0.35">
      <c r="B22" s="2" t="s">
        <v>65</v>
      </c>
    </row>
    <row r="23" spans="2:4" x14ac:dyDescent="0.35">
      <c r="B23" s="2" t="s">
        <v>64</v>
      </c>
    </row>
  </sheetData>
  <mergeCells count="5">
    <mergeCell ref="B10:B16"/>
    <mergeCell ref="B4:B5"/>
    <mergeCell ref="B6:B7"/>
    <mergeCell ref="B17:B19"/>
    <mergeCell ref="B8:B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Graphique 1</vt:lpstr>
      <vt:lpstr>Graphique 2</vt:lpstr>
      <vt:lpstr>Tableau 1</vt:lpstr>
      <vt:lpstr>Tableau 2</vt:lpstr>
      <vt:lpstr>Tableau 3</vt:lpstr>
      <vt:lpstr>Tableau complémentaire A</vt:lpstr>
      <vt:lpstr>Tableau complémentaire B</vt:lpstr>
      <vt:lpstr>Tableau complémentaire C</vt:lpstr>
      <vt:lpstr>Tableau complémentaire D</vt:lpstr>
      <vt:lpstr>Tableau complémentaire E</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RHUN, Beatrice (DREES/OS/BCL)</dc:creator>
  <cp:lastModifiedBy>GUHUR, Laureen (DREES/DIRECTION/BPC)</cp:lastModifiedBy>
  <dcterms:created xsi:type="dcterms:W3CDTF">2023-04-19T12:21:23Z</dcterms:created>
  <dcterms:modified xsi:type="dcterms:W3CDTF">2023-12-28T17:19:39Z</dcterms:modified>
</cp:coreProperties>
</file>